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NAgqmGbWBph5y0Fc6SjQF2raV+wrHw8W7bHmk9/v9saMKvdqsLUUSXXUy1VvQqXaJO3Lc0jDpIPbe7dCrliXeA==" workbookSaltValue="VywgNavB591NdME4PveR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AZ9" i="11"/>
  <c r="AZ31" i="11" s="1"/>
  <c r="AO28" i="17"/>
  <c r="BL29" i="11"/>
  <c r="BJ25" i="11"/>
  <c r="T16" i="16"/>
  <c r="AZ16" i="11"/>
  <c r="AZ23" i="11" s="1"/>
  <c r="BW20" i="20"/>
  <c r="BU16" i="17"/>
  <c r="BV19" i="16"/>
  <c r="BW1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BW9" i="20"/>
  <c r="BV28" i="16"/>
  <c r="BU11" i="17"/>
  <c r="BU25" i="17"/>
  <c r="BU28" i="17"/>
  <c r="BG21" i="11"/>
  <c r="BJ28" i="11"/>
  <c r="AP18" i="20"/>
  <c r="BM20" i="11"/>
  <c r="T18" i="16"/>
  <c r="AZ21" i="11"/>
  <c r="V22" i="11"/>
  <c r="V29" i="11"/>
  <c r="BH28" i="16"/>
  <c r="AZ13" i="11"/>
  <c r="BJ12" i="11"/>
  <c r="BJ29" i="11"/>
  <c r="BH9" i="11"/>
  <c r="V21" i="11"/>
  <c r="BK16" i="11"/>
  <c r="BK9" i="11"/>
  <c r="BH19" i="11"/>
  <c r="BM29" i="11"/>
  <c r="BH19" i="16"/>
  <c r="BK13" i="11"/>
  <c r="BH11" i="16"/>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<sst xmlns="http://schemas.openxmlformats.org/spreadsheetml/2006/main" count="2682" uniqueCount="1193">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</sst>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LBESA5/1bnOxjbXLD9kBG2OFlMQxlttFYW7/BdBmPnlv82QDkWxj/+82Dm+qay2C5ERNVGyxteDYSSs/6iPtw==" saltValue="now64eYvafm9fv+mCMxy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4</v>
      </c>
      <c r="F10" s="240">
        <f>IF(ISNUMBER(Datos!K10),Datos!K10," - ")</f>
        <v>1</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0.13043478260869565</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29.470149253731343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738</v>
      </c>
      <c r="D17" s="239">
        <f>IF(ISNUMBER(IF(D_I="SI",Datos!I17,Datos!I17+Datos!AC17)),IF(D_I="SI",Datos!I17,Datos!I17+Datos!AC17)," - ")</f>
        <v>725</v>
      </c>
      <c r="E17" s="240">
        <f>IF(ISNUMBER(IF(D_I="SI",Datos!J17,Datos!J17+Datos!AD17)),IF(D_I="SI",Datos!J17,Datos!J17+Datos!AD17)," - ")</f>
        <v>469</v>
      </c>
      <c r="F17" s="240">
        <f>IF(ISNUMBER(IF(D_I="SI",Datos!K17,Datos!K17+Datos!AE17)),IF(D_I="SI",Datos!K17,Datos!K17+Datos!AE17)," - ")</f>
        <v>403</v>
      </c>
      <c r="G17" s="1390" t="str">
        <f>IF(Datos!E17&lt;&gt;"",Datos!E17,Datos!D17)</f>
        <v>04</v>
      </c>
      <c r="H17" s="241">
        <f>IF(ISNUMBER(IF(D_I="SI",Datos!L17,Datos!L17+Datos!AF17)),IF(D_I="SI",Datos!L17,Datos!L17+Datos!AF17)," - ")</f>
        <v>804</v>
      </c>
      <c r="I17" s="1400" t="str">
        <f>IF(ISNUMBER(Datos!AS17/Datos!BM17),Datos!AS17/Datos!BM17," - ")</f>
        <v xml:space="preserve"> - </v>
      </c>
      <c r="J17" s="1401">
        <f>IF(ISNUMBER(Datos!BY17/Datos!CN17),Datos!BY17/Datos!CN17," - ")</f>
        <v>0</v>
      </c>
      <c r="K17" s="244">
        <f t="shared" si="3"/>
        <v>8.943089430894309E-2</v>
      </c>
      <c r="L17" s="1402">
        <f>IF(ISNUMBER(NºAsuntos!I17/NºAsuntos!G17),(NºAsuntos!I17/NºAsuntos!G17)*11," - ")</f>
        <v>21.945409429280396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56</v>
      </c>
      <c r="F18" s="240">
        <f>IF(ISNUMBER(IF(D_I="SI",Datos!K18,Datos!K18+Datos!AE18)),IF(D_I="SI",Datos!K18,Datos!K18+Datos!AE18)," - ")</f>
        <v>44</v>
      </c>
      <c r="G18" s="1390" t="str">
        <f>IF(Datos!E18&lt;&gt;"",Datos!E18,Datos!D18)</f>
        <v>37</v>
      </c>
      <c r="H18" s="241">
        <f>IF(ISNUMBER(IF(D_I="SI",Datos!L18,Datos!L18+Datos!AF18)),IF(D_I="SI",Datos!L18,Datos!L18+Datos!AF18)," - ")</f>
        <v>91</v>
      </c>
      <c r="I18" s="1400" t="str">
        <f>IF(ISNUMBER(Datos!AS18/Datos!BM18),Datos!AS18/Datos!BM18," - ")</f>
        <v xml:space="preserve"> - </v>
      </c>
      <c r="J18" s="1401" t="str">
        <f>IF(ISNUMBER((Datos!BY18+Datos!BZ18)/Datos!CN18),(Datos!BY18+Datos!BZ18)/Datos!CN18," - ")</f>
        <v xml:space="preserve"> - </v>
      </c>
      <c r="K18" s="244">
        <f t="shared" si="3"/>
        <v>0.15189873417721519</v>
      </c>
      <c r="L18" s="1402">
        <f>IF(ISNUMBER(NºAsuntos!I18/NºAsuntos!G18),(NºAsuntos!I18/NºAsuntos!G18)*11," - ")</f>
        <v>22.75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817</v>
      </c>
      <c r="D23" s="1407">
        <f>SUBTOTAL(9,D16:D22)</f>
        <v>804</v>
      </c>
      <c r="E23" s="1408">
        <f>SUBTOTAL(9,E16:E22)</f>
        <v>525</v>
      </c>
      <c r="F23" s="1408">
        <f>SUBTOTAL(9,F16:F22)</f>
        <v>447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840</v>
      </c>
      <c r="D31" s="1435">
        <f>SUBTOTAL(9,D9:D30)</f>
        <v>827</v>
      </c>
      <c r="E31" s="1436">
        <f>SUBTOTAL(9,E9:E30)</f>
        <v>529</v>
      </c>
      <c r="F31" s="1436">
        <f>SUBTOTAL(9,F9:F30)</f>
        <v>448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EbBPmi/IJrVnnF14cvgG6MefXqAwL48ZiVj8ZfeQ73k63e788BKhpF7k76Bt+EYKVS5oXBgnoXqrwdOCBd9gg==" saltValue="AJlxIefrYWyY2HNsb07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31bBWuvvAKR4vq6FcywaiUngkatc6aB7oPDbC8fmb00KZUbkq+HuWlY1NJTa7Vwq4nEUVspWYkstyJeOMggwQ==" saltValue="OlhVtBi6ijHLOT1mWEbX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4</v>
      </c>
      <c r="K10" s="194">
        <v>1</v>
      </c>
      <c r="L10" s="194">
        <v>26</v>
      </c>
      <c r="M10" s="194">
        <v>1</v>
      </c>
      <c r="N10" s="194">
        <v>0</v>
      </c>
      <c r="O10" s="194">
        <v>0</v>
      </c>
      <c r="P10" s="194">
        <v>0</v>
      </c>
      <c r="Q10" s="194">
        <v>2</v>
      </c>
      <c r="R10" s="194">
        <v>8</v>
      </c>
      <c r="S10" s="194">
        <v>10</v>
      </c>
      <c r="T10" s="194">
        <v>8</v>
      </c>
      <c r="U10" s="194">
        <v>4</v>
      </c>
      <c r="V10" s="194">
        <v>25</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8</v>
      </c>
      <c r="BA10" s="139">
        <f t="shared" si="0"/>
        <v>4</v>
      </c>
      <c r="BB10" s="139">
        <f t="shared" si="0"/>
        <v>25</v>
      </c>
      <c r="BC10" s="135">
        <f t="shared" si="0"/>
        <v>3</v>
      </c>
      <c r="BD10" s="136">
        <f>IF(ISNUMBER(BA10/AZ10),BA10/AZ10," - ")</f>
        <v>0.5</v>
      </c>
      <c r="BE10" s="137">
        <f>IF(ISNUMBER(BB10/BA10),BB10/BA10, " - ")</f>
        <v>6.25</v>
      </c>
      <c r="BF10" s="137">
        <f>IF(ISNUMBER(BC10/BA10),BC10/BA10, " - ")</f>
        <v>0.75</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794</v>
      </c>
      <c r="J12" s="196">
        <v>342</v>
      </c>
      <c r="K12" s="196">
        <v>308</v>
      </c>
      <c r="L12" s="196">
        <v>881</v>
      </c>
      <c r="M12" s="196">
        <v>95</v>
      </c>
      <c r="N12" s="196">
        <v>162</v>
      </c>
      <c r="O12" s="194">
        <v>105</v>
      </c>
      <c r="P12" s="196">
        <v>84</v>
      </c>
      <c r="Q12" s="196">
        <v>260</v>
      </c>
      <c r="R12" s="196">
        <v>1153</v>
      </c>
      <c r="S12" s="196">
        <v>703</v>
      </c>
      <c r="T12" s="196">
        <v>331</v>
      </c>
      <c r="U12" s="196">
        <v>373</v>
      </c>
      <c r="V12" s="196">
        <v>665</v>
      </c>
      <c r="W12" s="196">
        <v>124</v>
      </c>
      <c r="X12" s="202">
        <v>160</v>
      </c>
      <c r="Y12" s="204">
        <v>112</v>
      </c>
      <c r="Z12" s="194">
        <v>78</v>
      </c>
      <c r="AA12" s="194">
        <v>94</v>
      </c>
      <c r="AB12" s="194">
        <v>196</v>
      </c>
      <c r="AC12" s="196">
        <v>0</v>
      </c>
      <c r="AD12" s="196">
        <v>0</v>
      </c>
      <c r="AE12" s="196">
        <v>0</v>
      </c>
      <c r="AF12" s="202">
        <v>0</v>
      </c>
      <c r="AG12" s="215">
        <v>65</v>
      </c>
      <c r="AH12" s="196">
        <v>83</v>
      </c>
      <c r="AI12" s="196">
        <v>73</v>
      </c>
      <c r="AJ12" s="216">
        <v>75</v>
      </c>
      <c r="AK12" s="195">
        <v>0</v>
      </c>
      <c r="AL12" s="196">
        <v>0</v>
      </c>
      <c r="AM12" s="196">
        <v>0</v>
      </c>
      <c r="AN12" s="202">
        <v>0</v>
      </c>
      <c r="AO12" s="283">
        <v>4</v>
      </c>
      <c r="AP12" s="168">
        <v>4</v>
      </c>
      <c r="AQ12" s="168">
        <v>4</v>
      </c>
      <c r="AR12" s="167">
        <v>4</v>
      </c>
      <c r="AS12" s="381" t="s">
        <v>1075</v>
      </c>
      <c r="AT12" s="216"/>
      <c r="AU12" s="215"/>
      <c r="AV12" s="216"/>
      <c r="AW12" s="215"/>
      <c r="AX12" s="216"/>
      <c r="AY12" s="136">
        <f t="shared" si="1"/>
        <v>768</v>
      </c>
      <c r="AZ12" s="137">
        <f t="shared" si="1"/>
        <v>414</v>
      </c>
      <c r="BA12" s="137">
        <f t="shared" si="1"/>
        <v>446</v>
      </c>
      <c r="BB12" s="137">
        <f t="shared" si="1"/>
        <v>740</v>
      </c>
      <c r="BC12" s="135">
        <f>IF(ISNUMBER(X12),X12," - ")</f>
        <v>160</v>
      </c>
      <c r="BD12" s="136">
        <f t="shared" si="2"/>
        <v>1.0772946859903381</v>
      </c>
      <c r="BE12" s="137">
        <f t="shared" si="3"/>
        <v>1.6591928251121075</v>
      </c>
      <c r="BF12" s="137">
        <f t="shared" si="4"/>
        <v>0.35874439461883406</v>
      </c>
      <c r="BG12" s="209">
        <f t="shared" si="5"/>
        <v>2.6502242152466366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817</v>
      </c>
      <c r="J14" s="197">
        <f t="shared" si="7"/>
        <v>346</v>
      </c>
      <c r="K14" s="197">
        <f t="shared" si="7"/>
        <v>309</v>
      </c>
      <c r="L14" s="197">
        <f t="shared" si="7"/>
        <v>907</v>
      </c>
      <c r="M14" s="197">
        <f t="shared" si="7"/>
        <v>96</v>
      </c>
      <c r="N14" s="197">
        <f t="shared" si="7"/>
        <v>162</v>
      </c>
      <c r="O14" s="197">
        <f t="shared" si="7"/>
        <v>105</v>
      </c>
      <c r="P14" s="197">
        <f t="shared" si="7"/>
        <v>84</v>
      </c>
      <c r="Q14" s="197">
        <f t="shared" si="7"/>
        <v>262</v>
      </c>
      <c r="R14" s="197">
        <f t="shared" si="7"/>
        <v>1161</v>
      </c>
      <c r="S14" s="197">
        <f t="shared" si="7"/>
        <v>713</v>
      </c>
      <c r="T14" s="197">
        <f t="shared" si="7"/>
        <v>339</v>
      </c>
      <c r="U14" s="197">
        <f t="shared" si="7"/>
        <v>377</v>
      </c>
      <c r="V14" s="197">
        <f t="shared" si="7"/>
        <v>690</v>
      </c>
      <c r="W14" s="197">
        <f t="shared" si="7"/>
        <v>127</v>
      </c>
      <c r="X14" s="197">
        <f t="shared" si="7"/>
        <v>161</v>
      </c>
      <c r="Y14" s="197">
        <f t="shared" si="7"/>
        <v>112</v>
      </c>
      <c r="Z14" s="197">
        <f t="shared" si="7"/>
        <v>78</v>
      </c>
      <c r="AA14" s="197">
        <f t="shared" si="7"/>
        <v>94</v>
      </c>
      <c r="AB14" s="197">
        <f t="shared" si="7"/>
        <v>196</v>
      </c>
      <c r="AC14" s="197">
        <f t="shared" si="7"/>
        <v>0</v>
      </c>
      <c r="AD14" s="197">
        <f t="shared" si="7"/>
        <v>0</v>
      </c>
      <c r="AE14" s="197">
        <f t="shared" si="7"/>
        <v>0</v>
      </c>
      <c r="AF14" s="197">
        <f>SUBTOTAL(9,AF9:AF13)</f>
        <v>0</v>
      </c>
      <c r="AG14" s="197">
        <f t="shared" ref="AG14:AT14" si="8">SUBTOTAL(9,AG8:AG13)</f>
        <v>65</v>
      </c>
      <c r="AH14" s="197">
        <f t="shared" si="8"/>
        <v>83</v>
      </c>
      <c r="AI14" s="197">
        <f t="shared" si="8"/>
        <v>73</v>
      </c>
      <c r="AJ14" s="197">
        <f t="shared" si="8"/>
        <v>75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778</v>
      </c>
      <c r="AZ14" s="197">
        <f>SUBTOTAL(9,AZ8:AZ13)</f>
        <v>422</v>
      </c>
      <c r="BA14" s="197">
        <f>SUBTOTAL(9,BA8:BA13)</f>
        <v>450</v>
      </c>
      <c r="BB14" s="197">
        <f>SUBTOTAL(9,BB8:BB13)</f>
        <v>765</v>
      </c>
      <c r="BC14" s="197">
        <f>SUBTOTAL(9,BC8:BC13)</f>
        <v>163</v>
      </c>
      <c r="BD14" s="219">
        <f>IF(ISNUMBER(BA14/AZ14),BA14/AZ14," - ")</f>
        <v>1.066350710900474</v>
      </c>
      <c r="BE14" s="220">
        <f>IF(ISNUMBER(BB14/BA14),BB14/BA14, " - ")</f>
        <v>1.7</v>
      </c>
      <c r="BF14" s="220">
        <f>IF(ISNUMBER(BC14/BA14),BC14/BA14, " - ")</f>
        <v>0.36222222222222222</v>
      </c>
      <c r="BG14" s="221">
        <f>IF(ISNUMBER((AY14+AZ14)/BA14),(AY14+AZ14)/BA14," - ")</f>
        <v>2.6666666666666665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725</v>
      </c>
      <c r="J17" s="196">
        <v>469</v>
      </c>
      <c r="K17" s="196">
        <v>403</v>
      </c>
      <c r="L17" s="196">
        <v>804</v>
      </c>
      <c r="M17" s="196">
        <v>66</v>
      </c>
      <c r="N17" s="196">
        <v>199</v>
      </c>
      <c r="O17" s="194">
        <v>0</v>
      </c>
      <c r="P17" s="196">
        <v>16</v>
      </c>
      <c r="Q17" s="196">
        <v>17</v>
      </c>
      <c r="R17" s="196">
        <v>175</v>
      </c>
      <c r="S17" s="196">
        <v>569</v>
      </c>
      <c r="T17" s="196">
        <v>471</v>
      </c>
      <c r="U17" s="196">
        <v>387</v>
      </c>
      <c r="V17" s="196">
        <v>700</v>
      </c>
      <c r="W17" s="196">
        <v>70</v>
      </c>
      <c r="X17" s="202">
        <v>192</v>
      </c>
      <c r="Y17" s="215">
        <v>0</v>
      </c>
      <c r="Z17" s="196">
        <v>0</v>
      </c>
      <c r="AA17" s="196">
        <v>0</v>
      </c>
      <c r="AB17" s="196">
        <v>0</v>
      </c>
      <c r="AC17" s="196">
        <v>1</v>
      </c>
      <c r="AD17" s="196">
        <v>6</v>
      </c>
      <c r="AE17" s="196">
        <v>5</v>
      </c>
      <c r="AF17" s="202">
        <v>2</v>
      </c>
      <c r="AG17" s="215">
        <v>0</v>
      </c>
      <c r="AH17" s="196">
        <v>0</v>
      </c>
      <c r="AI17" s="196">
        <v>0</v>
      </c>
      <c r="AJ17" s="216">
        <v>0</v>
      </c>
      <c r="AK17" s="195">
        <v>1</v>
      </c>
      <c r="AL17" s="196">
        <v>11</v>
      </c>
      <c r="AM17" s="196">
        <v>11</v>
      </c>
      <c r="AN17" s="202">
        <v>1</v>
      </c>
      <c r="AO17" s="283">
        <v>4</v>
      </c>
      <c r="AP17" s="168">
        <v>4</v>
      </c>
      <c r="AQ17" s="168">
        <v>4</v>
      </c>
      <c r="AR17" s="168">
        <v>4</v>
      </c>
      <c r="AS17" s="381" t="s">
        <v>650</v>
      </c>
      <c r="AT17" s="216"/>
      <c r="AU17" s="215"/>
      <c r="AV17" s="216"/>
      <c r="AW17" s="215"/>
      <c r="AX17" s="216"/>
      <c r="AY17" s="136">
        <f t="shared" si="10"/>
        <v>569</v>
      </c>
      <c r="AZ17" s="137">
        <f t="shared" si="10"/>
        <v>471</v>
      </c>
      <c r="BA17" s="137">
        <f t="shared" si="10"/>
        <v>387</v>
      </c>
      <c r="BB17" s="137">
        <f t="shared" si="10"/>
        <v>700</v>
      </c>
      <c r="BC17" s="135">
        <f>IF(ISNUMBER(W17),W17," - ")</f>
        <v>70</v>
      </c>
      <c r="BD17" s="136">
        <f t="shared" ref="BD17:BD22" si="12">IF(ISNUMBER(BA17/AZ17),BA17/AZ17," - ")</f>
        <v>0.82165605095541405</v>
      </c>
      <c r="BE17" s="137">
        <f t="shared" ref="BE17:BE22" si="13">IF(ISNUMBER(BB17/BA17),BB17/BA17, " - ")</f>
        <v>1.8087855297157622</v>
      </c>
      <c r="BF17" s="137">
        <f t="shared" ref="BF17:BF22" si="14">IF(ISNUMBER(BC17/BA17),BC17/BA17, " - ")</f>
        <v>0.18087855297157623</v>
      </c>
      <c r="BG17" s="209">
        <f t="shared" si="11"/>
        <v>2.6873385012919897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56</v>
      </c>
      <c r="K18" s="196">
        <v>44</v>
      </c>
      <c r="L18" s="196">
        <v>91</v>
      </c>
      <c r="M18" s="196">
        <v>12</v>
      </c>
      <c r="N18" s="196">
        <v>14</v>
      </c>
      <c r="O18" s="196">
        <v>0</v>
      </c>
      <c r="P18" s="196">
        <v>0</v>
      </c>
      <c r="Q18" s="196">
        <v>0</v>
      </c>
      <c r="R18" s="196">
        <v>2</v>
      </c>
      <c r="S18" s="196">
        <v>88</v>
      </c>
      <c r="T18" s="196">
        <v>63</v>
      </c>
      <c r="U18" s="196">
        <v>61</v>
      </c>
      <c r="V18" s="196">
        <v>90</v>
      </c>
      <c r="W18" s="196">
        <v>6</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63</v>
      </c>
      <c r="BA18" s="139">
        <f t="shared" si="15"/>
        <v>61</v>
      </c>
      <c r="BB18" s="139">
        <f t="shared" si="15"/>
        <v>90</v>
      </c>
      <c r="BC18" s="135">
        <f>IF(ISNUMBER(W18),W18," - ")</f>
        <v>6</v>
      </c>
      <c r="BD18" s="136">
        <f>IF(ISNUMBER(BA18/AZ18),BA18/AZ18," - ")</f>
        <v>0.96825396825396826</v>
      </c>
      <c r="BE18" s="137">
        <f>IF(ISNUMBER(BB18/BA18),BB18/BA18, " - ")</f>
        <v>1.4754098360655739</v>
      </c>
      <c r="BF18" s="137">
        <f>IF(ISNUMBER(BC18/BA18),BC18/BA18, " - ")</f>
        <v>9.8360655737704916E-2</v>
      </c>
      <c r="BG18" s="209">
        <f>IF(ISNUMBER((AY18+AZ18)/BA18),(AY18+AZ18)/BA18," - ")</f>
        <v>2.4754098360655736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804</v>
      </c>
      <c r="J23" s="197">
        <f t="shared" si="21"/>
        <v>525</v>
      </c>
      <c r="K23" s="197">
        <f t="shared" si="21"/>
        <v>447</v>
      </c>
      <c r="L23" s="197">
        <f t="shared" si="21"/>
        <v>895</v>
      </c>
      <c r="M23" s="197">
        <f t="shared" si="21"/>
        <v>78</v>
      </c>
      <c r="N23" s="197">
        <f t="shared" si="21"/>
        <v>213</v>
      </c>
      <c r="O23" s="197">
        <f t="shared" si="21"/>
        <v>0</v>
      </c>
      <c r="P23" s="197">
        <f t="shared" si="21"/>
        <v>16</v>
      </c>
      <c r="Q23" s="197">
        <f t="shared" si="21"/>
        <v>17</v>
      </c>
      <c r="R23" s="197">
        <f t="shared" si="21"/>
        <v>177</v>
      </c>
      <c r="S23" s="197">
        <f t="shared" si="21"/>
        <v>657</v>
      </c>
      <c r="T23" s="197">
        <f t="shared" si="21"/>
        <v>534</v>
      </c>
      <c r="U23" s="197">
        <f t="shared" si="21"/>
        <v>448</v>
      </c>
      <c r="V23" s="197">
        <f t="shared" si="21"/>
        <v>790</v>
      </c>
      <c r="W23" s="197">
        <f t="shared" si="21"/>
        <v>76</v>
      </c>
      <c r="X23" s="197">
        <f t="shared" si="21"/>
        <v>222</v>
      </c>
      <c r="Y23" s="197">
        <f t="shared" si="21"/>
        <v>0</v>
      </c>
      <c r="Z23" s="197">
        <f t="shared" si="21"/>
        <v>0</v>
      </c>
      <c r="AA23" s="197">
        <f t="shared" si="21"/>
        <v>0</v>
      </c>
      <c r="AB23" s="197">
        <f t="shared" si="21"/>
        <v>0</v>
      </c>
      <c r="AC23" s="197">
        <f t="shared" si="21"/>
        <v>1</v>
      </c>
      <c r="AD23" s="197">
        <f t="shared" si="21"/>
        <v>6</v>
      </c>
      <c r="AE23" s="197">
        <f t="shared" si="21"/>
        <v>5</v>
      </c>
      <c r="AF23" s="197">
        <f t="shared" si="21"/>
        <v>2</v>
      </c>
      <c r="AG23" s="197">
        <f t="shared" si="21"/>
        <v>0</v>
      </c>
      <c r="AH23" s="197">
        <f t="shared" si="21"/>
        <v>0</v>
      </c>
      <c r="AI23" s="197">
        <f t="shared" si="21"/>
        <v>0</v>
      </c>
      <c r="AJ23" s="197">
        <f t="shared" si="21"/>
        <v>0</v>
      </c>
      <c r="AK23" s="197">
        <f t="shared" si="21"/>
        <v>1</v>
      </c>
      <c r="AL23" s="197">
        <f t="shared" si="21"/>
        <v>11</v>
      </c>
      <c r="AM23" s="197">
        <f t="shared" si="21"/>
        <v>11</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657</v>
      </c>
      <c r="AZ23" s="197">
        <f>SUBTOTAL(9,AZ15:AZ22)</f>
        <v>534</v>
      </c>
      <c r="BA23" s="197">
        <f>SUBTOTAL(9,BA15:BA22)</f>
        <v>448</v>
      </c>
      <c r="BB23" s="197">
        <f>SUBTOTAL(9,BB15:BB22)</f>
        <v>790</v>
      </c>
      <c r="BC23" s="197">
        <f>SUBTOTAL(9,BC15:BC22)</f>
        <v>76</v>
      </c>
      <c r="BD23" s="219">
        <f>IF(ISNUMBER(BA23/AZ23),BA23/AZ23," - ")</f>
        <v>0.83895131086142327</v>
      </c>
      <c r="BE23" s="220">
        <f>IF(ISNUMBER(BB23/BA23),BB23/BA23, " - ")</f>
        <v>1.7633928571428572</v>
      </c>
      <c r="BF23" s="220">
        <f>IF(ISNUMBER(BC23/BA23),BC23/BA23, " - ")</f>
        <v>0.16964285714285715</v>
      </c>
      <c r="BG23" s="221">
        <f>IF(ISNUMBER((AY23+AZ23)/BA23),(AY23+AZ23)/BA23," - ")</f>
        <v>2.6584821428571428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1621</v>
      </c>
      <c r="J31" s="144">
        <f t="shared" si="36"/>
        <v>871</v>
      </c>
      <c r="K31" s="144">
        <f t="shared" si="36"/>
        <v>756</v>
      </c>
      <c r="L31" s="144">
        <f t="shared" si="36"/>
        <v>1802</v>
      </c>
      <c r="M31" s="144">
        <f t="shared" si="36"/>
        <v>174</v>
      </c>
      <c r="N31" s="144">
        <f t="shared" si="36"/>
        <v>375</v>
      </c>
      <c r="O31" s="144">
        <f t="shared" si="36"/>
        <v>105</v>
      </c>
      <c r="P31" s="144">
        <f t="shared" si="36"/>
        <v>100</v>
      </c>
      <c r="Q31" s="144">
        <f t="shared" si="36"/>
        <v>279</v>
      </c>
      <c r="R31" s="144">
        <f t="shared" si="36"/>
        <v>1338</v>
      </c>
      <c r="S31" s="144">
        <f t="shared" si="36"/>
        <v>1370</v>
      </c>
      <c r="T31" s="144">
        <f t="shared" si="36"/>
        <v>873</v>
      </c>
      <c r="U31" s="144">
        <f t="shared" si="36"/>
        <v>825</v>
      </c>
      <c r="V31" s="144">
        <f t="shared" si="36"/>
        <v>1480</v>
      </c>
      <c r="W31" s="144">
        <f t="shared" si="36"/>
        <v>203</v>
      </c>
      <c r="X31" s="144">
        <f t="shared" si="36"/>
        <v>383</v>
      </c>
      <c r="Y31" s="144">
        <f t="shared" si="36"/>
        <v>112</v>
      </c>
      <c r="Z31" s="144">
        <f t="shared" si="36"/>
        <v>78</v>
      </c>
      <c r="AA31" s="144">
        <f t="shared" si="36"/>
        <v>94</v>
      </c>
      <c r="AB31" s="144">
        <f t="shared" si="36"/>
        <v>196</v>
      </c>
      <c r="AC31" s="144">
        <f t="shared" si="36"/>
        <v>1</v>
      </c>
      <c r="AD31" s="144">
        <f t="shared" si="36"/>
        <v>6</v>
      </c>
      <c r="AE31" s="144">
        <f t="shared" si="36"/>
        <v>5</v>
      </c>
      <c r="AF31" s="144">
        <f t="shared" si="36"/>
        <v>2</v>
      </c>
      <c r="AG31" s="144">
        <f t="shared" si="36"/>
        <v>65</v>
      </c>
      <c r="AH31" s="144">
        <f t="shared" si="36"/>
        <v>83</v>
      </c>
      <c r="AI31" s="144">
        <f t="shared" si="36"/>
        <v>73</v>
      </c>
      <c r="AJ31" s="144">
        <f t="shared" si="36"/>
        <v>75</v>
      </c>
      <c r="AK31" s="144">
        <f t="shared" si="36"/>
        <v>1</v>
      </c>
      <c r="AL31" s="144">
        <f t="shared" si="36"/>
        <v>11</v>
      </c>
      <c r="AM31" s="144">
        <f t="shared" si="36"/>
        <v>11</v>
      </c>
      <c r="AN31" s="224">
        <f t="shared" si="36"/>
        <v>1</v>
      </c>
      <c r="AO31" s="225">
        <v>5</v>
      </c>
      <c r="AP31" s="225">
        <v>4</v>
      </c>
      <c r="AQ31" s="225">
        <v>4</v>
      </c>
      <c r="AR31" s="225">
        <v>4</v>
      </c>
      <c r="AS31" s="166">
        <f t="shared" si="36"/>
        <v>0</v>
      </c>
      <c r="AT31" s="166">
        <f t="shared" si="36"/>
        <v>0</v>
      </c>
      <c r="AU31" s="225"/>
      <c r="AV31" s="226"/>
      <c r="AW31" s="225"/>
      <c r="AX31" s="226"/>
      <c r="AY31" s="143">
        <f>SUBTOTAL(9,AY9:AY30)</f>
        <v>1435</v>
      </c>
      <c r="AZ31" s="144">
        <f>SUBTOTAL(9,AZ9:AZ30)</f>
        <v>956</v>
      </c>
      <c r="BA31" s="144">
        <f>SUBTOTAL(9,BA9:BA30)</f>
        <v>898</v>
      </c>
      <c r="BB31" s="144">
        <f>SUBTOTAL(9,BB9:BB30)</f>
        <v>1555</v>
      </c>
      <c r="BC31" s="145">
        <f>SUBTOTAL(9,BC9:BC30)</f>
        <v>239</v>
      </c>
      <c r="BD31" s="227">
        <f>IF(ISNUMBER(BA31/AZ31),BA31/AZ31," - ")</f>
        <v>0.93933054393305437</v>
      </c>
      <c r="BE31" s="224">
        <f>IF(ISNUMBER(BB31/BA31),BB31/BA31, " - ")</f>
        <v>1.7316258351893097</v>
      </c>
      <c r="BF31" s="224">
        <f>IF(ISNUMBER(BC31/BA31),BC31/BA31, " - ")</f>
        <v>0.26614699331848551</v>
      </c>
      <c r="BG31" s="145">
        <f>IF(ISNUMBER((AY31+AZ31)/BA31),(AY31+AZ31)/BA31," - ")</f>
        <v>2.6625835189309579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ShRBzr/3fcY4/8yh8rs7/TIB2uTxZowJOrFLSjXlmEQwbHSnG6IFOCCoB2vz/noH7b63yM53z2NJMQfq0nTTQ==" saltValue="MuUcyn2iBmFO5FpzTsUK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G1UxDzx9hyhM87j7smtWLXv3dSy82pKDOSH7fsJGnWW7I1JreeODJufQOA+Zl4lv5crX/N2qhvNeoNtidvEqg==" saltValue="sZvbQsenTptAZdcIhaKH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GERNIKA-LUMO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2</v>
      </c>
      <c r="AD10" s="549"/>
      <c r="AE10" s="563"/>
      <c r="AF10" s="551">
        <f>IF(ISNUMBER(Datos!L10),Datos!L10,"-")</f>
        <v>26</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196</v>
      </c>
      <c r="AI12" s="549" t="str">
        <f>IF(ISNUMBER(Datos!CD12),Datos!CD12,"-")</f>
        <v>-</v>
      </c>
      <c r="AJ12" s="549" t="str">
        <f>IF(ISNUMBER(Datos!EN12),Datos!EN12," - ")</f>
        <v xml:space="preserve"> - </v>
      </c>
      <c r="AK12" s="549"/>
      <c r="AL12" s="550"/>
      <c r="AM12" s="766">
        <f>IF(ISNUMBER(Datos!R12),Datos!R12," - ")</f>
        <v>1153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0.95714285714285718</v>
      </c>
      <c r="BH12" s="764">
        <f>IF(ISNUMBER(((IF(J_V="SI",Datos!L12/Datos!K12,(Datos!L12+Datos!AB12)/(Datos!K12+Datos!AA12)))*11)/factor_trimestre),((IF(J_V="SI",Datos!L12/Datos!K12,(Datos!L12+Datos!AB12)/(Datos!K12+Datos!AA12)))*11)/factor_trimestre," - ")</f>
        <v>5.3582089552238807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-0.13243039879608728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78</v>
      </c>
      <c r="O14" s="1199">
        <f t="shared" si="1"/>
        <v>0</v>
      </c>
      <c r="P14" s="1199">
        <f t="shared" si="1"/>
        <v>0</v>
      </c>
      <c r="Q14" s="1198">
        <f t="shared" si="1"/>
        <v>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262</v>
      </c>
      <c r="AD14" s="1198">
        <f t="shared" si="2"/>
        <v>0</v>
      </c>
      <c r="AE14" s="1198">
        <f t="shared" si="2"/>
        <v>0</v>
      </c>
      <c r="AF14" s="1198">
        <f t="shared" si="2"/>
        <v>26</v>
      </c>
      <c r="AG14" s="1198">
        <f t="shared" si="2"/>
        <v>0</v>
      </c>
      <c r="AH14" s="1198">
        <f t="shared" si="2"/>
        <v>196</v>
      </c>
      <c r="AI14" s="1198">
        <f t="shared" si="2"/>
        <v>0</v>
      </c>
      <c r="AJ14" s="1198">
        <f t="shared" si="2"/>
        <v>0</v>
      </c>
      <c r="AK14" s="1198">
        <f t="shared" si="2"/>
        <v>0</v>
      </c>
      <c r="AL14" s="1198">
        <f t="shared" si="2"/>
        <v>0</v>
      </c>
      <c r="AM14" s="1198">
        <f t="shared" si="2"/>
        <v>1161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162</v>
      </c>
      <c r="BE14" s="1198">
        <f t="shared" si="2"/>
        <v>0</v>
      </c>
      <c r="BF14" s="1198">
        <f t="shared" si="2"/>
        <v>0</v>
      </c>
      <c r="BG14" s="1198">
        <f>IF(ISNUMBER(Datos!K14/Datos!J14),Datos!K14/Datos!J14," - ")</f>
        <v>0.89306358381502893</v>
      </c>
      <c r="BH14" s="1202">
        <f>IF(ISNUMBER(((Datos!L14/Datos!K14)*11)/factor_trimestre),((Datos!L14/Datos!K14)*11)/factor_trimestre," - ")</f>
        <v>5.8705501618122975</v>
      </c>
      <c r="BI14" s="1198">
        <f>IF(ISNUMBER('Resol  Asuntos'!D14/NºAsuntos!G14),'Resol  Asuntos'!D14/NºAsuntos!G14," - ")</f>
        <v>0.23821339950372208</v>
      </c>
      <c r="BJ14" s="1198" t="str">
        <f>IF(ISNUMBER(Datos!CI14/Datos!CJ14),Datos!CI14/Datos!CJ14," - ")</f>
        <v xml:space="preserve"> - </v>
      </c>
      <c r="BK14" s="1198">
        <f>SUBTOTAL(9,BK8:BK13)</f>
        <v>0</v>
      </c>
      <c r="BL14" s="1198">
        <f>IF(ISNUMBER((I14-AB14+L14)/(F14)),(I14-AB14+L14)/(F14)," - ")</f>
        <v>-4.3478260869565216E-2</v>
      </c>
      <c r="BM14" s="1203">
        <f>SUBTOTAL(9,BM9:BM13)</f>
        <v>-0.33243039879608727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738</v>
      </c>
      <c r="G17" s="743">
        <f>IF(ISNUMBER(IF(D_I="SI",Datos!I17,Datos!I17+Datos!AC17)),IF(D_I="SI",Datos!I17,Datos!I17+Datos!AC17)," - ")</f>
        <v>725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403</v>
      </c>
      <c r="AC17" s="240">
        <f>IF(ISNUMBER(Datos!Q17),Datos!Q17," - ")</f>
        <v>17</v>
      </c>
      <c r="AD17" s="374"/>
      <c r="AE17" s="562"/>
      <c r="AF17" s="741">
        <f>IF(ISNUMBER(IF(D_I="SI",Datos!L17,Datos!L17+Datos!AF17)),IF(D_I="SI",Datos!L17,Datos!L17+Datos!AF17)," - ")</f>
        <v>804</v>
      </c>
      <c r="AG17" s="374"/>
      <c r="AH17" s="374"/>
      <c r="AI17" s="374"/>
      <c r="AJ17" s="549"/>
      <c r="AK17" s="374"/>
      <c r="AL17" s="545"/>
      <c r="AM17" s="375">
        <f>IF(ISNUMBER(Datos!R17),Datos!R17," - ")</f>
        <v>175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0.85927505330490406</v>
      </c>
      <c r="BH17" s="764">
        <f>IF(ISNUMBER(((IF(D_I="SI",Datos!L17/Datos!K17,(Datos!L17+Datos!AF17)/(Datos!K17+Datos!AE17)))*11)/factor_trimestre),((IF(D_I="SI",Datos!L17/Datos!K17,(Datos!L17+Datos!AF17)/(Datos!K17+Datos!AE17)))*11)/factor_trimestre," - ")</f>
        <v>3.9900744416873448</v>
      </c>
      <c r="BI17" s="266">
        <f>IF(ISNUMBER('Resol  Asuntos'!D17/NºAsuntos!G17),'Resol  Asuntos'!D17/NºAsuntos!G17," - ")</f>
        <v>0.16377171215880892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91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0.7857142857142857</v>
      </c>
      <c r="BH18" s="764">
        <f>IF(ISNUMBER(((IF(D_I="SI",Datos!L18/Datos!K18,(Datos!L18+Datos!AF18)/(Datos!K18+Datos!AE18)))*11)/factor_trimestre),((IF(D_I="SI",Datos!L18/Datos!K18,(Datos!L18+Datos!AF18)/(Datos!K18+Datos!AE18)))*11)/factor_trimestre," - ")</f>
        <v>4.1363636363636367</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738</v>
      </c>
      <c r="G23" s="1197">
        <f>SUBTOTAL(9,G16:G22)</f>
        <v>804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447</v>
      </c>
      <c r="AC23" s="1198">
        <f t="shared" si="5"/>
        <v>17</v>
      </c>
      <c r="AD23" s="1198">
        <f t="shared" si="5"/>
        <v>0</v>
      </c>
      <c r="AE23" s="1198">
        <f t="shared" si="5"/>
        <v>0</v>
      </c>
      <c r="AF23" s="1198">
        <f t="shared" si="5"/>
        <v>895</v>
      </c>
      <c r="AG23" s="1198">
        <f t="shared" si="5"/>
        <v>0</v>
      </c>
      <c r="AH23" s="1198">
        <f t="shared" si="5"/>
        <v>0</v>
      </c>
      <c r="AI23" s="1198">
        <f t="shared" si="5"/>
        <v>0</v>
      </c>
      <c r="AJ23" s="1198">
        <f t="shared" si="5"/>
        <v>0</v>
      </c>
      <c r="AK23" s="1198">
        <f t="shared" si="5"/>
        <v>0</v>
      </c>
      <c r="AL23" s="1198">
        <f t="shared" si="5"/>
        <v>0</v>
      </c>
      <c r="AM23" s="1198">
        <f t="shared" si="5"/>
        <v>177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213</v>
      </c>
      <c r="BE23" s="1198">
        <f t="shared" si="5"/>
        <v>0</v>
      </c>
      <c r="BF23" s="1198">
        <f t="shared" si="5"/>
        <v>0</v>
      </c>
      <c r="BG23" s="1198">
        <f>IF(ISNUMBER(Datos!K23/Datos!J23),Datos!K23/Datos!J23," - ")</f>
        <v>0.85142857142857142</v>
      </c>
      <c r="BH23" s="1202">
        <f>IF(ISNUMBER(((Datos!L23/Datos!K23)*11)/factor_trimestre),((Datos!L23/Datos!K23)*11)/factor_trimestre," - ")</f>
        <v>4.0044742729306488</v>
      </c>
      <c r="BI23" s="1198">
        <f>SUBTOTAL(9,BI16:BI22)</f>
        <v>0.43649898488608163</v>
      </c>
      <c r="BJ23" s="1198">
        <f>SUBTOTAL(9,BJ16:BJ22)</f>
        <v>0</v>
      </c>
      <c r="BK23" s="1198">
        <f>SUBTOTAL(9,BK16:BK22)</f>
        <v>0</v>
      </c>
      <c r="BL23" s="1198">
        <f>IF(ISNUMBER((I23-AB23+L23)/(F23)),(I23-AB23+L23)/(F23)," - ")</f>
        <v>-0.60569105691056913</v>
      </c>
      <c r="BM23" s="1205">
        <f>IF(ISNUMBER((Datos!P23-Datos!Q23)/(Datos!R23-Datos!P23+Datos!Q23)),(Datos!P23-Datos!Q23)/(Datos!R23-Datos!P23+Datos!Q23)," - ")</f>
        <v>-5.6179775280898875E-3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761</v>
      </c>
      <c r="G31" s="1117">
        <f t="shared" si="18"/>
        <v>827</v>
      </c>
      <c r="H31" s="1119">
        <f t="shared" si="18"/>
        <v>0</v>
      </c>
      <c r="I31" s="1117">
        <f t="shared" si="18"/>
        <v>0</v>
      </c>
      <c r="J31" s="1119">
        <f t="shared" si="18"/>
        <v>0</v>
      </c>
      <c r="K31" s="1119">
        <f t="shared" si="18"/>
        <v>0</v>
      </c>
      <c r="L31" s="1180">
        <f t="shared" si="18"/>
        <v>0</v>
      </c>
      <c r="M31" s="1180">
        <f t="shared" si="18"/>
        <v>0</v>
      </c>
      <c r="N31" s="1180">
        <f t="shared" si="18"/>
        <v>78</v>
      </c>
      <c r="O31" s="1180">
        <f t="shared" si="18"/>
        <v>0</v>
      </c>
      <c r="P31" s="1180">
        <f t="shared" si="18"/>
        <v>0</v>
      </c>
      <c r="Q31" s="1119">
        <f t="shared" si="18"/>
        <v>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448</v>
      </c>
      <c r="AC31" s="1118">
        <f t="shared" si="19"/>
        <v>279</v>
      </c>
      <c r="AD31" s="1118">
        <f t="shared" si="19"/>
        <v>0</v>
      </c>
      <c r="AE31" s="1118">
        <f t="shared" si="19"/>
        <v>0</v>
      </c>
      <c r="AF31" s="1125">
        <f t="shared" si="19"/>
        <v>921</v>
      </c>
      <c r="AG31" s="1125">
        <f t="shared" si="19"/>
        <v>0</v>
      </c>
      <c r="AH31" s="1125">
        <f t="shared" si="19"/>
        <v>196</v>
      </c>
      <c r="AI31" s="1125">
        <f t="shared" si="19"/>
        <v>0</v>
      </c>
      <c r="AJ31" s="1118">
        <f t="shared" si="19"/>
        <v>0</v>
      </c>
      <c r="AK31" s="1125">
        <f t="shared" si="19"/>
        <v>0</v>
      </c>
      <c r="AL31" s="1125">
        <f t="shared" si="19"/>
        <v>0</v>
      </c>
      <c r="AM31" s="1125">
        <f t="shared" si="19"/>
        <v>1338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v>
      </c>
      <c r="BD31" s="1117">
        <f t="shared" si="19"/>
        <v>375</v>
      </c>
      <c r="BE31" s="1117">
        <f t="shared" si="19"/>
        <v>0</v>
      </c>
      <c r="BF31" s="1127">
        <f t="shared" si="19"/>
        <v>0</v>
      </c>
      <c r="BG31" s="1223">
        <f>IF(ISNUMBER(Datos!K31/Datos!J31),Datos!K31/Datos!J31," - ")</f>
        <v>0.86796785304247992</v>
      </c>
      <c r="BH31" s="1223">
        <f>IF(ISNUMBER(((Datos!L31/Datos!K31)*11)/factor_trimestre),((Datos!L31/Datos!K31)*11)/factor_trimestre," - ")</f>
        <v>4.7671957671957674</v>
      </c>
      <c r="BI31" s="1103">
        <f>IF(ISNUMBER(Datos!J31/Datos!I31),Datos!J31/Datos!I31," - ")</f>
        <v>0.53732264034546573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-0.58869908015768724</v>
      </c>
      <c r="BM31" s="1188">
        <f>IF(ISNUMBER((Datos!P31-Datos!Q31+R31)/(Datos!R31-Datos!P31+Datos!Q31-R31)),(Datos!P31-Datos!Q31+R31)/(Datos!R31-Datos!P31+Datos!Q31-R31)," - ")</f>
        <v>-0.11799604482531312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375.30396569536362</v>
      </c>
      <c r="G33" s="674">
        <f>IF(ISNUMBER(STDEV(G8:G30)),STDEV(G8:G30),"-")</f>
        <v>362.51975315639208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203.90684147423792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44.220228079789131</v>
      </c>
      <c r="BD33" s="673"/>
      <c r="BE33" s="673">
        <f>IF(ISNUMBER(STDEV(BE8:BE30)),STDEV(BE8:BE30),"-")</f>
        <v>0</v>
      </c>
      <c r="BF33" s="678">
        <f>IF(ISNUMBER(STDEV(BF8:BF30)),STDEV(BF8:BF30),"-")</f>
        <v>0</v>
      </c>
      <c r="BG33" s="1052">
        <f>IF(ISNUMBER(STDEV(BG8:BG30)),STDEV(BG8:BG30),"-")</f>
        <v>0.25896857363244874</v>
      </c>
      <c r="BH33" s="1058">
        <f>IF(ISNUMBER(STDEV(BH8:BH30)),STDEV(BH8:BH30),"-")</f>
        <v>19.337664944354586</v>
      </c>
      <c r="BI33" s="273">
        <f>IF(ISNUMBER(STDEV(BI8:BI30)),STDEV(BI8:BI30),"-")</f>
        <v>0.11515301371130289</v>
      </c>
      <c r="BJ33" s="244" t="str">
        <f>IF(ISNUMBER(BL33/BM33),BL33/BM33," - ")</f>
        <v xml:space="preserve"> - </v>
      </c>
      <c r="BK33" s="709"/>
      <c r="BL33" s="681">
        <f>IF(ISNUMBER(STDEV(BL8:BL30)),STDEV(BL8:BL30),"-")</f>
        <v>0.39754448055044328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OdDkByelyt4G9FXUl427kyJVJbQMJu66wOgASh7xKvXdaCYWRvACvZXpEwohZxRGNI/XGTL2WDPAOTsS/tzkA==" saltValue="qg5QZODAufkr9btAEQR5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GERNIKA-LUMO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2</v>
      </c>
      <c r="AA10" s="551">
        <f>IF(ISNUMBER(Datos!L10),Datos!L10,"-")</f>
        <v>26</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260</v>
      </c>
      <c r="AA12" s="551" t="str">
        <f>IF(ISNUMBER(IF(J_V="SI",Datos!L12,Datos!L12+Datos!AB12)-IF(Monitorios="SI",Datos!CD12,0)),
                          IF(J_V="SI",Datos!L12,Datos!L12+Datos!AB12)-IF(Monitorios="SI",Datos!CD12,0),
                          " - ")</f>
        <v xml:space="preserve"> - </v>
      </c>
      <c r="AB12" s="549"/>
      <c r="AC12" s="549"/>
      <c r="AD12" s="563"/>
      <c r="AE12" s="563">
        <f>IF(ISNUMBER(Datos!R12),Datos!R12," - ")</f>
        <v>1153</v>
      </c>
      <c r="AF12" s="693" t="str">
        <f>IF(ISNUMBER(Datos!BV12),Datos!BV12," - ")</f>
        <v xml:space="preserve"> - </v>
      </c>
      <c r="AG12" s="552" t="str">
        <f>IF(ISNUMBER(Datos!DV12),Datos!DV12," - ")</f>
        <v xml:space="preserve"> - </v>
      </c>
      <c r="AH12" s="553"/>
      <c r="AI12" s="554"/>
      <c r="AJ12" s="552">
        <f>IF(ISNUMBER(Datos!M12),Datos!M12," - ")</f>
        <v>95</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5.3582089552238807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-0.13243039879608728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262</v>
      </c>
      <c r="AA14" s="1199">
        <f t="shared" si="3"/>
        <v>26</v>
      </c>
      <c r="AB14" s="1199">
        <f t="shared" si="3"/>
        <v>0</v>
      </c>
      <c r="AC14" s="1199">
        <f t="shared" si="3"/>
        <v>0</v>
      </c>
      <c r="AD14" s="1199">
        <f t="shared" si="3"/>
        <v>0</v>
      </c>
      <c r="AE14" s="1199">
        <f t="shared" si="3"/>
        <v>1161</v>
      </c>
      <c r="AF14" s="1211">
        <f t="shared" si="3"/>
        <v>0</v>
      </c>
      <c r="AG14" s="1211">
        <f t="shared" si="3"/>
        <v>0</v>
      </c>
      <c r="AH14" s="1211">
        <f t="shared" si="3"/>
        <v>0</v>
      </c>
      <c r="AI14" s="1211">
        <f t="shared" si="3"/>
        <v>0</v>
      </c>
      <c r="AJ14" s="1211">
        <f t="shared" si="3"/>
        <v>96</v>
      </c>
      <c r="AK14" s="1211">
        <f t="shared" si="3"/>
        <v>162</v>
      </c>
      <c r="AL14" s="1211">
        <f t="shared" si="3"/>
        <v>0</v>
      </c>
      <c r="AM14" s="1211">
        <f t="shared" si="3"/>
        <v>0</v>
      </c>
      <c r="AN14" s="1211">
        <f t="shared" si="3"/>
        <v>0</v>
      </c>
      <c r="AO14" s="1203">
        <f>IF(ISNUMBER(((NºAsuntos!I14/NºAsuntos!G14)*11)/factor_trimestre),((NºAsuntos!I14/NºAsuntos!G14)*11)/factor_trimestre," - ")</f>
        <v>5.4739454094292803</v>
      </c>
      <c r="AP14" s="1213" t="str">
        <f>IF(ISNUMBER(Datos!CI14/Datos!CJ14),Datos!CI14/Datos!CJ14," - ")</f>
        <v xml:space="preserve"> - </v>
      </c>
      <c r="AQ14" s="1236">
        <f t="shared" ref="AQ14:AV14" si="4">SUBTOTAL(9,AQ9:AQ13)</f>
        <v>0</v>
      </c>
      <c r="AR14" s="1236">
        <f t="shared" si="4"/>
        <v>-0.33243039879608727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738</v>
      </c>
      <c r="G17" s="552">
        <f>IF(ISNUMBER(IF(D_I="SI",Datos!I17,Datos!I17+Datos!AC17)),IF(D_I="SI",Datos!I17,Datos!I17+Datos!AC17)," - ")</f>
        <v>725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403</v>
      </c>
      <c r="Z17" s="805">
        <f>IF(ISNUMBER(Datos!Q17),Datos!Q17," - ")</f>
        <v>17</v>
      </c>
      <c r="AA17" s="551">
        <f>IF(ISNUMBER(IF(D_I="SI",Datos!L17,Datos!L17+Datos!AF17)),IF(D_I="SI",Datos!L17,Datos!L17+Datos!AF17)," - ")</f>
        <v>804</v>
      </c>
      <c r="AB17" s="549"/>
      <c r="AC17" s="549"/>
      <c r="AD17" s="563"/>
      <c r="AE17" s="563">
        <f>IF(ISNUMBER(Datos!R17),Datos!R17," - ")</f>
        <v>175</v>
      </c>
      <c r="AF17" s="693" t="str">
        <f>IF(ISNUMBER(Datos!BV17),Datos!BV17," - ")</f>
        <v xml:space="preserve"> - </v>
      </c>
      <c r="AG17" s="552"/>
      <c r="AH17" s="553"/>
      <c r="AI17" s="554"/>
      <c r="AJ17" s="552">
        <f>IF(ISNUMBER(Datos!M17),Datos!M17," - ")</f>
        <v>66</v>
      </c>
      <c r="AK17" s="693">
        <f>IF(ISNUMBER(Datos!N17),Datos!N17," - ")</f>
        <v>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3.9900744416873448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91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4.1363636363636367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738</v>
      </c>
      <c r="G23" s="1197">
        <f>SUBTOTAL(9,G16:G22)</f>
        <v>804</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447</v>
      </c>
      <c r="Z23" s="1240">
        <f t="shared" si="6"/>
        <v>17</v>
      </c>
      <c r="AA23" s="1240">
        <f t="shared" si="6"/>
        <v>895</v>
      </c>
      <c r="AB23" s="1240">
        <f t="shared" si="6"/>
        <v>0</v>
      </c>
      <c r="AC23" s="1240">
        <f t="shared" si="6"/>
        <v>0</v>
      </c>
      <c r="AD23" s="1240">
        <f t="shared" si="6"/>
        <v>0</v>
      </c>
      <c r="AE23" s="1240">
        <f t="shared" si="6"/>
        <v>177</v>
      </c>
      <c r="AF23" s="1240">
        <f t="shared" si="6"/>
        <v>0</v>
      </c>
      <c r="AG23" s="1240">
        <f t="shared" si="6"/>
        <v>0</v>
      </c>
      <c r="AH23" s="1240">
        <f t="shared" si="6"/>
        <v>0</v>
      </c>
      <c r="AI23" s="1240">
        <f t="shared" si="6"/>
        <v>0</v>
      </c>
      <c r="AJ23" s="1240">
        <f t="shared" si="6"/>
        <v>78</v>
      </c>
      <c r="AK23" s="1240">
        <f t="shared" si="6"/>
        <v>213</v>
      </c>
      <c r="AL23" s="1240">
        <f t="shared" si="6"/>
        <v>0</v>
      </c>
      <c r="AM23" s="1240">
        <f t="shared" si="6"/>
        <v>0</v>
      </c>
      <c r="AN23" s="1240">
        <f t="shared" si="6"/>
        <v>0</v>
      </c>
      <c r="AO23" s="1242">
        <f>IF(ISNUMBER(((NºAsuntos!I23/NºAsuntos!G23)*11)/factor_trimestre),((NºAsuntos!I23/NºAsuntos!G23)*11)/factor_trimestre," - ")</f>
        <v>4.0044742729306488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761</v>
      </c>
      <c r="G31" s="1117">
        <f t="shared" si="12"/>
        <v>827</v>
      </c>
      <c r="H31" s="1118">
        <f t="shared" si="12"/>
        <v>0</v>
      </c>
      <c r="I31" s="1117">
        <f t="shared" si="12"/>
        <v>0</v>
      </c>
      <c r="J31" s="1119">
        <f t="shared" si="12"/>
        <v>0</v>
      </c>
      <c r="K31" s="1117">
        <f t="shared" si="12"/>
        <v>0</v>
      </c>
      <c r="L31" s="1120">
        <f t="shared" si="12"/>
        <v>0</v>
      </c>
      <c r="M31" s="1117">
        <f t="shared" si="12"/>
        <v>0</v>
      </c>
      <c r="N31" s="1118">
        <f t="shared" si="12"/>
        <v>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448</v>
      </c>
      <c r="Z31" s="1124">
        <f t="shared" si="13"/>
        <v>279</v>
      </c>
      <c r="AA31" s="1125">
        <f t="shared" si="13"/>
        <v>921</v>
      </c>
      <c r="AB31" s="1125">
        <f t="shared" si="13"/>
        <v>0</v>
      </c>
      <c r="AC31" s="1125">
        <f t="shared" si="13"/>
        <v>0</v>
      </c>
      <c r="AD31" s="1126">
        <f t="shared" si="13"/>
        <v>0</v>
      </c>
      <c r="AE31" s="1126">
        <f t="shared" si="13"/>
        <v>1338</v>
      </c>
      <c r="AF31" s="1127">
        <f t="shared" si="13"/>
        <v>0</v>
      </c>
      <c r="AG31" s="1128">
        <f t="shared" si="13"/>
        <v>0</v>
      </c>
      <c r="AH31" s="1129">
        <f t="shared" si="13"/>
        <v>0</v>
      </c>
      <c r="AI31" s="1127">
        <f t="shared" si="13"/>
        <v>0</v>
      </c>
      <c r="AJ31" s="1117">
        <f t="shared" si="13"/>
        <v>174</v>
      </c>
      <c r="AK31" s="1117">
        <f t="shared" si="13"/>
        <v>375</v>
      </c>
      <c r="AL31" s="1117">
        <f t="shared" si="13"/>
        <v>0</v>
      </c>
      <c r="AM31" s="1130">
        <f t="shared" si="13"/>
        <v>0</v>
      </c>
      <c r="AN31" s="1120">
        <f>IF(ISNUMBER(Datos!K31/Datos!J31),Datos!K31/Datos!J31," - ")</f>
        <v>0.86796785304247992</v>
      </c>
      <c r="AO31" s="1120">
        <f>IF(ISNUMBER(FIND("06",Criterios!A8,1)),(IF(ISNUMBER(((Datos!R31/Datos!Q31)*11)/factor_trimestre),((Datos!R31/Datos!Q31)*11)/factor_trimestre," - ")),(IF(ISNUMBER(((Datos!L31/Datos!K31)*11)/factor_trimestre),((Datos!L31/Datos!K31)*11)/factor_trimestre," - ")))</f>
        <v>4.7671957671957674</v>
      </c>
      <c r="AP31" s="1131" t="str">
        <f>IF(ISNUMBER(Datos!CI31/Datos!CJ31),Datos!CI31/Datos!CJ31," - ")</f>
        <v xml:space="preserve"> - </v>
      </c>
      <c r="AQ31" s="1131">
        <f>IF(OR(ISNUMBER(FIND("01",Criterios!A8,1)),ISNUMBER(FIND("02",Criterios!A8,1)),ISNUMBER(FIND("03",Criterios!A8,1)),ISNUMBER(FIND("04",Criterios!A8,1))),(J31-Y31+K31)/(F31-K31),(I31-Y31+K31)/(F31-K31))</f>
        <v>-0.58869908015768724</v>
      </c>
      <c r="AR31" s="1131">
        <f>IF(ISNUMBER((Datos!P31-Datos!Q31+O31)/(Datos!R31-Datos!P31+Datos!Q31-O31)),(Datos!P31-Datos!Q31+O31)/(Datos!R31-Datos!P31+Datos!Q31-O31)," - ")</f>
        <v>-0.11799604482531312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375.30396569536362</v>
      </c>
      <c r="G33" s="674">
        <f>IF(ISNUMBER(STDEV(G8:G30)),STDEV(G8:G30),"-")</f>
        <v>362.51975315639208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44.220228079789131</v>
      </c>
      <c r="AK33" s="276"/>
      <c r="AL33" s="276">
        <f>IF(ISNUMBER(STDEV(AL8:AL30)),STDEV(AL8:AL30),"-")</f>
        <v>0</v>
      </c>
      <c r="AM33" s="278">
        <f>IF(ISNUMBER(STDEV(AM8:AM30)),STDEV(AM8:AM30),"-")</f>
        <v>0</v>
      </c>
      <c r="AN33" s="660">
        <f>IF(ISNUMBER(STDEV(AN8:AN30)),STDEV(AN8:AN30),"-")</f>
        <v>0</v>
      </c>
      <c r="AO33" s="661">
        <f>IF(ISNUMBER(STDEV(AO8:AO30)),STDEV(AO8:AO30),"-")</f>
        <v>19.365761532678246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BaZBi62FljBD99coSRA5JLsPZcJbNpGYOqfEUwNM6xSsZVb1mgqRb3wavzKekAcx6A4emDd/sZdnlHP3+Slw==" saltValue="O2dSJvZLVL8YAOCEjmbh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4rc984TBg+w9uU9e3dWgNAghkrDr8yOUAt5PntxKbzGImCBPpCVKjh6OdOv3XBz+RxD/STZC5d32qBO7EYTzw==" saltValue="oyRO7/5ay07YwIiy9bci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IfLBFCkje/zlj+AR2q9lcGNY83AoJb9NnXIZ17G2UorMr+7W+HvCsWvoYqjxRHdd/5H3hhiOHyVPTe/DDeX0w==" saltValue="gAE/7V4rWThMHeOwzHgF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GERNIKA-LUMO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0.23821339950372208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0.16844231015858205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pb9KrD3VNU+k+JbwAQeDmVNlfoKkVGAKq82Rj4f8UNEZnsI+7bXFe7SMFMQzQ99bWKpjd6xWmZ6cEoJxAb/YQ==" saltValue="GH3Suet13wctUaL3gVpd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j6qWljCDSbgSQyLNuC4a9xp39+JCiI21NldyDvP5iZMC1c6fugHlILyA9gDv/RFcdafCc80GeHU6Zyia0IREw==" saltValue="z06xjxzRlsotyicGI13F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GERNIKA-LUMO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4</v>
      </c>
      <c r="F10" s="452">
        <f>IF(ISNUMBER(E10/B10),E10/B10," - ")</f>
        <v>4</v>
      </c>
      <c r="G10" s="451">
        <f>IF(ISNUMBER(Datos!K10),Datos!K10," - ")</f>
        <v>1</v>
      </c>
      <c r="H10" s="452">
        <f>IF(ISNUMBER(G10/B10),G10/B10," - ")</f>
        <v>1</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906</v>
      </c>
      <c r="D12" s="452">
        <f>IF(ISNUMBER(C12/Datos!BH12),C12/Datos!BH12," - ")</f>
        <v>226.5</v>
      </c>
      <c r="E12" s="451">
        <f>IF(ISNUMBER(IF(J_V="SI",Datos!J12,Datos!J12+Datos!Z12)),IF(J_V="SI",Datos!J12,Datos!J12+Datos!Z12)," - ")</f>
        <v>420</v>
      </c>
      <c r="F12" s="452">
        <f>IF(ISNUMBER(E12/B12),E12/B12," - ")</f>
        <v>105</v>
      </c>
      <c r="G12" s="451">
        <f>IF(ISNUMBER(IF(J_V="SI",Datos!K12,Datos!K12+Datos!AA12)),IF(J_V="SI",Datos!K12,Datos!K12+Datos!AA12)," - ")</f>
        <v>402</v>
      </c>
      <c r="H12" s="452">
        <f>IF(ISNUMBER(G12/B12),G12/B12," - ")</f>
        <v>100.5</v>
      </c>
      <c r="I12" s="451">
        <f>IF(ISNUMBER(IF(J_V="SI",Datos!L12,Datos!L12+Datos!AB12)),IF(J_V="SI",Datos!L12,Datos!L12+Datos!AB12)," - ")</f>
        <v>1077</v>
      </c>
      <c r="J12" s="452">
        <f>IF(ISNUMBER(I12/B12),I12/B12," - ")</f>
        <v>269.25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929</v>
      </c>
      <c r="D14" s="1147" t="str">
        <f>IF(ISNUMBER(C14/Datos!BI14),C14/Datos!BI14," - ")</f>
        <v xml:space="preserve"> - </v>
      </c>
      <c r="E14" s="1146">
        <f>SUBTOTAL(9,E8:E13)</f>
        <v>424</v>
      </c>
      <c r="F14" s="1147">
        <f>IF(ISNUMBER(E14/B14),E14/B14," - ")</f>
        <v>106</v>
      </c>
      <c r="G14" s="1146">
        <f>SUBTOTAL(9,G8:G13)</f>
        <v>403</v>
      </c>
      <c r="H14" s="1147">
        <f>IF(ISNUMBER(G14/B14),G14/B14," - ")</f>
        <v>100.75</v>
      </c>
      <c r="I14" s="1146">
        <f>SUBTOTAL(9,I8:I13)</f>
        <v>1103</v>
      </c>
      <c r="J14" s="1147">
        <f>IF(ISNUMBER(I14/B14),I14/B14," - ")</f>
        <v>275.75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725</v>
      </c>
      <c r="D17" s="452">
        <f>IF(ISNUMBER(C17/Datos!BH17),C17/Datos!BH17," - ")</f>
        <v>181.25</v>
      </c>
      <c r="E17" s="451">
        <f>IF(ISNUMBER(IF(D_I="SI",Datos!J17,Datos!J17+Datos!AD17)),IF(D_I="SI",Datos!J17,Datos!J17+Datos!AD17)," - ")</f>
        <v>469</v>
      </c>
      <c r="F17" s="452">
        <f>IF(ISNUMBER(E17/B17),E17/B17," - ")</f>
        <v>117.25</v>
      </c>
      <c r="G17" s="451">
        <f>IF(ISNUMBER(IF(D_I="SI",Datos!K17,Datos!K17+Datos!AE17)),IF(D_I="SI",Datos!K17,Datos!K17+Datos!AE17)," - ")</f>
        <v>403</v>
      </c>
      <c r="H17" s="452">
        <f>IF(ISNUMBER(G17/B17),G17/B17," - ")</f>
        <v>100.75</v>
      </c>
      <c r="I17" s="451">
        <f>IF(ISNUMBER(IF(D_I="SI",Datos!L17,Datos!L17+Datos!AF17)),IF(D_I="SI",Datos!L17,Datos!L17+Datos!AF17)," - ")</f>
        <v>804</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56</v>
      </c>
      <c r="F18" s="452">
        <f>IF(ISNUMBER(E18/B18),E18/B18," - ")</f>
        <v>56</v>
      </c>
      <c r="G18" s="451">
        <f>IF(ISNUMBER(IF(D_I="SI",Datos!K18,Datos!K18+Datos!AE18)),IF(D_I="SI",Datos!K18,Datos!K18+Datos!AE18)," - ")</f>
        <v>44</v>
      </c>
      <c r="H18" s="452">
        <f>IF(ISNUMBER(G18/B18),G18/B18," - ")</f>
        <v>44</v>
      </c>
      <c r="I18" s="451">
        <f>IF(ISNUMBER(IF(D_I="SI",Datos!L18,Datos!L18+Datos!AF18)),IF(D_I="SI",Datos!L18,Datos!L18+Datos!AF18)," - ")</f>
        <v>91</v>
      </c>
      <c r="J18" s="452">
        <f>IF(ISNUMBER(I18/B18),I18/B18," - ")</f>
        <v>91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804</v>
      </c>
      <c r="D23" s="1147" t="str">
        <f>IF(ISNUMBER(C23/Datos!BI23),C23/Datos!BI23," - ")</f>
        <v xml:space="preserve"> - </v>
      </c>
      <c r="E23" s="1146">
        <f>SUBTOTAL(9,E15:E22)</f>
        <v>525</v>
      </c>
      <c r="F23" s="1147">
        <f>IF(ISNUMBER(E23/B23),E23/B23," - ")</f>
        <v>131.25</v>
      </c>
      <c r="G23" s="1146">
        <f>SUBTOTAL(9,G15:G22)</f>
        <v>447</v>
      </c>
      <c r="H23" s="1147">
        <f>IF(ISNUMBER(G23/B23),G23/B23," - ")</f>
        <v>111.75</v>
      </c>
      <c r="I23" s="1146">
        <f>SUBTOTAL(9,I15:I22)</f>
        <v>895</v>
      </c>
      <c r="J23" s="1147">
        <f>IF(ISNUMBER(I23/B23),I23/B23," - ")</f>
        <v>223.75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1733</v>
      </c>
      <c r="D31" s="1085" t="str">
        <f>IF(ISNUMBER(C31/Datos!BI31),C31/Datos!BI31," - ")</f>
        <v xml:space="preserve"> - </v>
      </c>
      <c r="E31" s="1084">
        <f>SUBTOTAL(9,E9:E30)</f>
        <v>949</v>
      </c>
      <c r="F31" s="1085">
        <f>IF(ISNUMBER(E31/B31),E31/B31," - ")</f>
        <v>237.25</v>
      </c>
      <c r="G31" s="1084">
        <f>SUBTOTAL(9,G9:G30)</f>
        <v>850</v>
      </c>
      <c r="H31" s="1085">
        <f>IF(ISNUMBER(G31/B31),G31/B31," - ")</f>
        <v>212.5</v>
      </c>
      <c r="I31" s="1084">
        <f>SUBTOTAL(9,I9:I30)</f>
        <v>1998</v>
      </c>
      <c r="J31" s="1085">
        <f>IF(ISNUMBER(I31/B31),I31/B31," - ")</f>
        <v>499.5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1OEkxAy1WcHkSuH7NlBZ8s/UWg8jw7xNh+4TZerbUJoWR5X85PIFlfrpPs1bwHNqKh7oT0xQmpnf2BK17Krg==" saltValue="e5eqWQxkmmjMiF8pMVJJ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GERNIKA-LUMO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5.3582089552238807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-0.13243039879608728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260</v>
      </c>
      <c r="AE14" s="1257">
        <f t="shared" si="1"/>
        <v>0</v>
      </c>
      <c r="AF14" s="1257">
        <f t="shared" si="1"/>
        <v>26</v>
      </c>
      <c r="AG14" s="1257">
        <f t="shared" si="1"/>
        <v>0</v>
      </c>
      <c r="AH14" s="1257">
        <f t="shared" si="1"/>
        <v>1153</v>
      </c>
      <c r="AI14" s="1257">
        <f t="shared" si="1"/>
        <v>0</v>
      </c>
      <c r="AJ14" s="1257">
        <f t="shared" si="1"/>
        <v>0</v>
      </c>
      <c r="AK14" s="1257">
        <f t="shared" si="1"/>
        <v>0</v>
      </c>
      <c r="AL14" s="1257">
        <f t="shared" si="1"/>
        <v>96</v>
      </c>
      <c r="AM14" s="1257">
        <f t="shared" si="1"/>
        <v>162</v>
      </c>
      <c r="AN14" s="1257">
        <f t="shared" si="1"/>
        <v>0</v>
      </c>
      <c r="AO14" s="1257">
        <f t="shared" si="1"/>
        <v>0</v>
      </c>
      <c r="AP14" s="1262">
        <f>IF(ISNUMBER(((Datos!L14/Datos!K14)*11)/factor_trimestre),((Datos!L14/Datos!K14)*11)/factor_trimestre," - ")</f>
        <v>5.8705501618122975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-4.3478260869565216E-2</v>
      </c>
      <c r="AU14" s="1257" t="str">
        <f>IF(ISNUMBER((DatosP!#REF!-DatosP!#REF!+DatosP!#REF!)/(DatosP!#REF!+DatosP!#REF!-DatosP!#REF!-DatosP!#REF!)),(DatosP!#REF!-DatosP!#REF!+DatosP!#REF!)/(DatosP!#REF!+DatosP!#REF!-DatosP!#REF!-DatosP!#REF!)," - ")</f>
        <v xml:space="preserve"> - </v>
      </c>
      <c r="AV14" s="1263">
        <f>SUBTOTAL(9,AV9:AV13)</f>
        <v>-0.13243039879608728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4.0044742729306488</v>
      </c>
      <c r="AQ23" s="1262">
        <f>IF(ISNUMBER(((Datos!M23/Datos!L23)*11)/factor_trimestre),((Datos!M23/Datos!L23)*11)/factor_trimestre," - ")</f>
        <v>0.17430167597765364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-5.6179775280898875E-3</v>
      </c>
      <c r="AW23" s="1265">
        <f>IF(ISNUMBER((Datos!Q23-Datos!R23)/(Datos!S23-Datos!Q23+Datos!R23)),(Datos!Q23-Datos!R23)/(Datos!S23-Datos!Q23+Datos!R23)," - ")</f>
        <v>-0.19583843329253367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260</v>
      </c>
      <c r="AE31" s="1284">
        <f t="shared" si="9"/>
        <v>0</v>
      </c>
      <c r="AF31" s="1285">
        <f t="shared" si="9"/>
        <v>26</v>
      </c>
      <c r="AG31" s="1285">
        <f t="shared" si="9"/>
        <v>0</v>
      </c>
      <c r="AH31" s="1285">
        <f t="shared" si="9"/>
        <v>1153</v>
      </c>
      <c r="AI31" s="1285">
        <f t="shared" si="9"/>
        <v>0</v>
      </c>
      <c r="AJ31" s="1286">
        <f t="shared" si="9"/>
        <v>0</v>
      </c>
      <c r="AK31" s="1286">
        <f t="shared" si="9"/>
        <v>0</v>
      </c>
      <c r="AL31" s="1278">
        <f t="shared" si="9"/>
        <v>96</v>
      </c>
      <c r="AM31" s="1278">
        <f t="shared" si="9"/>
        <v>162</v>
      </c>
      <c r="AN31" s="1278">
        <f t="shared" si="9"/>
        <v>0</v>
      </c>
      <c r="AO31" s="1278">
        <f t="shared" si="9"/>
        <v>0</v>
      </c>
      <c r="AP31" s="1278">
        <f>IF(ISNUMBER(((Datos!L31/Datos!K31)*11)/factor_trimestre),((Datos!L31/Datos!K31)*11)/factor_trimestre," - ")</f>
        <v>4.7671957671957674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-4.3478260869565216E-2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-0.11799604482531312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49.189429758841484</v>
      </c>
      <c r="AM33" s="1006"/>
      <c r="AN33" s="1006">
        <f>IF(ISNUMBER(STDEV(AN8:AN30)),STDEV(AN8:AN30),"-")</f>
        <v>0</v>
      </c>
      <c r="AO33" s="1012">
        <f>IF(ISNUMBER(STDEV(AO8:AO30)),STDEV(AO8:AO30),"-")</f>
        <v>0</v>
      </c>
      <c r="AP33" s="1065">
        <f>IF(ISNUMBER(STDEV(AP8:AP30)),STDEV(AP8:AP30),"-")</f>
        <v>23.47433107740823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crvVpgxlsk8nq9O6Y1L9aXZpoHKtHQj8Rb0/uURugAwyfhxwLzJ9epO2lgy/a8T1hijeIY1MrBy/hwdlT5gaQ==" saltValue="KfMMkMZAnfMdyj+94K17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GERNIKA-LUMO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WI7hF6GO+30WrKVCKB+6VfsHNCVJAe66k9qWIvj+DgS4XOCl9SqaTKHVOJyDvjMoAZ2b/q/pM0UNq2LQ62dyQ==" saltValue="7q8ntYjOFoAN2lem9iMS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GERNIKA-LUMO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95</v>
      </c>
      <c r="E12" s="452">
        <f t="shared" si="0"/>
        <v>23.75</v>
      </c>
      <c r="F12" s="451">
        <f>IF(ISNUMBER(Datos!N12),Datos!N12," - ")</f>
        <v>162</v>
      </c>
      <c r="G12" s="452">
        <f t="shared" si="1"/>
        <v>40.5</v>
      </c>
      <c r="H12" s="451">
        <f>IF(ISNUMBER(Datos!O12),Datos!O12," - ")</f>
        <v>105</v>
      </c>
      <c r="I12" s="452">
        <f t="shared" si="2"/>
        <v>26.25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96</v>
      </c>
      <c r="E14" s="1147">
        <f t="shared" si="0"/>
        <v>19.2</v>
      </c>
      <c r="F14" s="1146">
        <f>SUBTOTAL(9,F9:F13)</f>
        <v>162</v>
      </c>
      <c r="G14" s="1147">
        <f t="shared" si="1"/>
        <v>32.4</v>
      </c>
      <c r="H14" s="1146">
        <f>SUBTOTAL(9,H9:H13)</f>
        <v>105</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66</v>
      </c>
      <c r="E17" s="452">
        <f t="shared" si="3"/>
        <v>16.5</v>
      </c>
      <c r="F17" s="451">
        <f>IF(ISNUMBER(Datos!N17),Datos!N17," - ")</f>
        <v>199</v>
      </c>
      <c r="G17" s="452">
        <f t="shared" si="4"/>
        <v>49.75</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78</v>
      </c>
      <c r="E23" s="1147">
        <f t="shared" si="3"/>
        <v>15.6</v>
      </c>
      <c r="F23" s="1146">
        <f>SUBTOTAL(9,F16:F22)</f>
        <v>213</v>
      </c>
      <c r="G23" s="1147">
        <f t="shared" si="4"/>
        <v>42.6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174</v>
      </c>
      <c r="E31" s="1085">
        <f>IF(ISNUMBER(D31/B31),D31/B31," - ")</f>
        <v>43.5</v>
      </c>
      <c r="F31" s="1084">
        <f>SUBTOTAL(9,F8:F30)</f>
        <v>375</v>
      </c>
      <c r="G31" s="1085">
        <f>IF(ISNUMBER(F31/B31),F31/B31," - ")</f>
        <v>93.75</v>
      </c>
      <c r="H31" s="1084">
        <f>SUBTOTAL(9,H8:H30)</f>
        <v>105</v>
      </c>
      <c r="I31" s="1085">
        <f>IF(ISNUMBER(H31/B31),H31/B31," - ")</f>
        <v>26.25</v>
      </c>
    </row>
    <row r="34" spans="1:1">
      <c r="A34" s="439" t="str">
        <f>Criterios!A4</f>
        <v>Fecha Informe: 06 may. 2023</v>
      </c>
    </row>
    <row r="39" spans="1:1">
      <c r="A39" s="462"/>
    </row>
  </sheetData>
  <sheetProtection algorithmName="SHA-512" hashValue="0hv2cKOqQrqpJVyACZ9+FhTmAuRj8Q8XzDhNjrZYtVeyrIX1AWqIBcIAxXQ2cBhma1F5eQRycfbXyOojaZn40g==" saltValue="uN7QyKxlQB+W/4rhJcH9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GERNIKA-LUMO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260</v>
      </c>
      <c r="D12" s="456">
        <f>IF(ISNUMBER(Datos!R12),Datos!R12," - ")</f>
        <v>1153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v>
      </c>
      <c r="C14" s="1150">
        <f>SUBTOTAL(9,C9:C13)</f>
        <v>262</v>
      </c>
      <c r="D14" s="1148">
        <f>SUBTOTAL(9,D9:D13)</f>
        <v>1161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17</v>
      </c>
      <c r="D17" s="456">
        <f>IF(ISNUMBER(Datos!R17),Datos!R17," - ")</f>
        <v>175</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17</v>
      </c>
      <c r="D23" s="1148">
        <f>SUBTOTAL(9,D16:D22)</f>
        <v>177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v>
      </c>
      <c r="C31" s="1089">
        <f>SUBTOTAL(9,C8:C30)</f>
        <v>279</v>
      </c>
      <c r="D31" s="1090">
        <f>SUBTOTAL(9,D8:D30)</f>
        <v>1338</v>
      </c>
    </row>
    <row r="32" spans="1:4" ht="7.5" customHeight="1"/>
    <row r="33" spans="1:1" ht="6" customHeight="1"/>
    <row r="34" spans="1:1">
      <c r="A34" s="439" t="str">
        <f>Criterios!A4</f>
        <v>Fecha Informe: 06 may. 2023</v>
      </c>
    </row>
    <row r="39" spans="1:1">
      <c r="A39" s="462"/>
    </row>
  </sheetData>
  <sheetProtection algorithmName="SHA-512" hashValue="BdsUtHJCFKirN39KJ96sQxw6xTQQGnJ+Ts5QoTekDJWvnPvyy8l6grfosDAYagDDcdrfkKyH0rSrBMxLQFwrfg==" saltValue="Hgeyvpeyx7DPrFtZzEaV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GERNIKA-LUMO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v>
      </c>
      <c r="C10" s="515">
        <f>IF(ISNUMBER((Datos!J10-Datos!T10)/Datos!T10),(Datos!J10-Datos!T10)/Datos!T10," - ")</f>
        <v>-0.5</v>
      </c>
      <c r="D10" s="515">
        <f>IF(ISNUMBER((Datos!K10-Datos!U10)/Datos!U10),(Datos!K10-Datos!U10)/Datos!U10," - ")</f>
        <v>-0.75</v>
      </c>
      <c r="E10" s="515">
        <f>IF(ISNUMBER((Datos!L10-Datos!V10)/Datos!V10),(Datos!L10-Datos!V10)/Datos!V10," - ")</f>
        <v>0.04</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3.16</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0.1796875</v>
      </c>
      <c r="C12" s="515">
        <f>IF(ISNUMBER(
   IF(J_V="SI",(Datos!J12-Datos!T12)/Datos!T12,(Datos!J12+Datos!Z12-(Datos!T12+Datos!AH12))/(Datos!T12+Datos!AH12))
     ),IF(J_V="SI",(Datos!J12-Datos!T12)/Datos!T12,(Datos!J12+Datos!Z12-(Datos!T12+Datos!AH12))/(Datos!T12+Datos!AH12))," - ")</f>
        <v>1.4492753623188406E-2</v>
      </c>
      <c r="D12" s="515">
        <f>IF(ISNUMBER(
   IF(J_V="SI",(Datos!K12-Datos!U12)/Datos!U12,(Datos!K12+Datos!AA12-(Datos!U12+Datos!AI12))/(Datos!U12+Datos!AI12))
     ),IF(J_V="SI",(Datos!K12-Datos!U12)/Datos!U12,(Datos!K12+Datos!AA12-(Datos!U12+Datos!AI12))/(Datos!U12+Datos!AI12))," - ")</f>
        <v>-9.8654708520179366E-2</v>
      </c>
      <c r="E12" s="515">
        <f>IF(ISNUMBER(
   IF(J_V="SI",(Datos!L12-Datos!V12)/Datos!V12,(Datos!L12+Datos!AB12-(Datos!V12+Datos!AJ12))/(Datos!V12+Datos!AJ12))
     ),IF(J_V="SI",(Datos!L12-Datos!V12)/Datos!V12,(Datos!L12+Datos!AB12-(Datos!V12+Datos!AJ12))/(Datos!V12+Datos!AJ12))," - ")</f>
        <v>0.45540540540540542</v>
      </c>
      <c r="F12" s="515">
        <f>IF(ISNUMBER((Datos!M12-Datos!W12)/Datos!W12),(Datos!M12-Datos!W12)/Datos!W12," - ")</f>
        <v>-0.23387096774193547</v>
      </c>
      <c r="G12" s="516">
        <f>IF(ISNUMBER((Datos!N12-Datos!X12)/Datos!X12),(Datos!N12-Datos!X12)/Datos!X12," - ")</f>
        <v>1.2500000000000001E-2</v>
      </c>
      <c r="H12" s="514">
        <f>IF(ISNUMBER(((NºAsuntos!G12/NºAsuntos!E12)-Datos!BD12)/Datos!BD12),((NºAsuntos!G12/NºAsuntos!E12)-Datos!BD12)/Datos!BD12," - ")</f>
        <v>-0.11153106982703383</v>
      </c>
      <c r="I12" s="515">
        <f>IF(ISNUMBER(((NºAsuntos!I12/NºAsuntos!G12)-Datos!BE12)/Datos!BE12),((NºAsuntos!I12/NºAsuntos!G12)-Datos!BE12)/Datos!BE12," - ")</f>
        <v>0.61470350947962904</v>
      </c>
      <c r="J12" s="521">
        <f>IF(ISNUMBER((('Resol  Asuntos'!D12/NºAsuntos!G12)-Datos!BF12)/Datos!BF12),(('Resol  Asuntos'!D12/NºAsuntos!G12)-Datos!BF12)/Datos!BF12," - ")</f>
        <v>-0.34126243781094523</v>
      </c>
      <c r="K12" s="522">
        <f>IF(ISNUMBER((((NºAsuntos!C12+NºAsuntos!E12)/NºAsuntos!G12)-Datos!BG12)/Datos!BG12),(((NºAsuntos!C12+NºAsuntos!E12)/NºAsuntos!G12)-Datos!BG12)/Datos!BG12," - ")</f>
        <v>0.24461449099679272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0.19408740359897173</v>
      </c>
      <c r="C14" s="1152">
        <f>IF(ISNUMBER(
   IF(J_V="SI",(Datos!J14-Datos!T14)/Datos!T14,(Datos!J14+Datos!Z14-(Datos!T14+Datos!AH14))/(Datos!T14+Datos!AH14))
     ),IF(J_V="SI",(Datos!J14-Datos!T14)/Datos!T14,(Datos!J14+Datos!Z14-(Datos!T14+Datos!AH14))/(Datos!T14+Datos!AH14))," - ")</f>
        <v>4.7393364928909956E-3</v>
      </c>
      <c r="D14" s="1152">
        <f>IF(ISNUMBER(
   IF(J_V="SI",(Datos!K14-Datos!U14)/Datos!U14,(Datos!K14+Datos!AA14-(Datos!U14+Datos!AI14))/(Datos!U14+Datos!AI14))
     ),IF(J_V="SI",(Datos!K14-Datos!U14)/Datos!U14,(Datos!K14+Datos!AA14-(Datos!U14+Datos!AI14))/(Datos!U14+Datos!AI14))," - ")</f>
        <v>-0.10444444444444445</v>
      </c>
      <c r="E14" s="1152">
        <f>IF(ISNUMBER(
   IF(J_V="SI",(Datos!L14-Datos!V14)/Datos!V14,(Datos!L14+Datos!AB14-(Datos!V14+Datos!AJ14))/(Datos!V14+Datos!AJ14))
     ),IF(J_V="SI",(Datos!L14-Datos!V14)/Datos!V14,(Datos!L14+Datos!AB14-(Datos!V14+Datos!AJ14))/(Datos!V14+Datos!AJ14))," - ")</f>
        <v>0.44183006535947711</v>
      </c>
      <c r="F14" s="1153">
        <f>IF(ISNUMBER((Datos!M14-Datos!W14)/Datos!W14),(Datos!M14-Datos!W14)/Datos!W14," - ")</f>
        <v>-0.24409448818897639</v>
      </c>
      <c r="G14" s="1154">
        <f>IF(ISNUMBER((Datos!N14-Datos!X14)/Datos!X14),(Datos!N14-Datos!X14)/Datos!X14," - ")</f>
        <v>6.2111801242236021E-3</v>
      </c>
      <c r="H14" s="1154">
        <f>IF(ISNUMBER(((NºAsuntos!G14/NºAsuntos!E14)-Datos!BD14)/Datos!BD14),((NºAsuntos!G14/NºAsuntos!E14)-Datos!BD14)/Datos!BD14," - ")</f>
        <v>-0.1086687631027254</v>
      </c>
      <c r="I14" s="1154">
        <f>IF(ISNUMBER(((NºAsuntos!I14/NºAsuntos!G14)-Datos!BE14)/Datos!BE14),((NºAsuntos!I14/NºAsuntos!G14)-Datos!BE14)/Datos!BE14," - ")</f>
        <v>0.60998394394978839</v>
      </c>
      <c r="J14" s="1154">
        <f>IF(ISNUMBER((('Resol  Asuntos'!D14/NºAsuntos!G14)-Datos!BF14)/Datos!BF14),(('Resol  Asuntos'!D14/NºAsuntos!G14)-Datos!BF14)/Datos!BF14," - ")</f>
        <v>-0.34235564554187153</v>
      </c>
      <c r="K14" s="1154">
        <f>IF(ISNUMBER((((NºAsuntos!C14+NºAsuntos!E14)/NºAsuntos!G14)-Datos!BG14)/Datos!BG14),(((NºAsuntos!C14+NºAsuntos!E14)/NºAsuntos!G14)-Datos!BG14)/Datos!BG14," - ")</f>
        <v>0.25899503722084366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0.27416520210896311</v>
      </c>
      <c r="C17" s="515">
        <f>IF(ISNUMBER(
   IF(D_I="SI",(Datos!J17-Datos!T17)/Datos!T17,(Datos!J17+Datos!AD17-(Datos!T17+Datos!AL17))/(Datos!T17+Datos!AL17))
     ),IF(D_I="SI",(Datos!J17-Datos!T17)/Datos!T17,(Datos!J17+Datos!AD17-(Datos!T17+Datos!AL17))/(Datos!T17+Datos!AL17))," - ")</f>
        <v>-4.246284501061571E-3</v>
      </c>
      <c r="D17" s="515">
        <f>IF(ISNUMBER(
   IF(D_I="SI",(Datos!K17-Datos!U17)/Datos!U17,(Datos!K17+Datos!AE17-(Datos!U17+Datos!AM17))/(Datos!U17+Datos!AM17))
     ),IF(D_I="SI",(Datos!K17-Datos!U17)/Datos!U17,(Datos!K17+Datos!AE17-(Datos!U17+Datos!AM17))/(Datos!U17+Datos!AM17))," - ")</f>
        <v>4.1343669250645997E-2</v>
      </c>
      <c r="E17" s="515">
        <f>IF(ISNUMBER(
   IF(D_I="SI",(Datos!L17-Datos!V17)/Datos!V17,(Datos!L17+Datos!AF17-(Datos!V17+Datos!AN17))/(Datos!V17+Datos!AN17))
     ),IF(D_I="SI",(Datos!L17-Datos!V17)/Datos!V17,(Datos!L17+Datos!AF17-(Datos!V17+Datos!AN17))/(Datos!V17+Datos!AN17))," - ")</f>
        <v>0.14857142857142858</v>
      </c>
      <c r="F17" s="515">
        <f>IF(ISNUMBER((Datos!M17-Datos!W17)/Datos!W17),(Datos!M17-Datos!W17)/Datos!W17," - ")</f>
        <v>-5.7142857142857141E-2</v>
      </c>
      <c r="G17" s="516">
        <f>IF(ISNUMBER((Datos!N17-Datos!X17)/Datos!X17),(Datos!N17-Datos!X17)/Datos!X17," - ")</f>
        <v>3.6458333333333336E-2</v>
      </c>
      <c r="H17" s="514">
        <f>IF(ISNUMBER(((NºAsuntos!G17/NºAsuntos!E17)-Datos!BD17)/Datos!BD17),((NºAsuntos!G17/NºAsuntos!E17)-Datos!BD17)/Datos!BD17," - ")</f>
        <v>4.5784367200542096E-2</v>
      </c>
      <c r="I17" s="515">
        <f>IF(ISNUMBER(((NºAsuntos!I17/NºAsuntos!G17)-Datos!BE17)/Datos!BE17),((NºAsuntos!I17/NºAsuntos!G17)-Datos!BE17)/Datos!BE17," - ")</f>
        <v>0.10297057780928749</v>
      </c>
      <c r="J17" s="521">
        <f>IF(ISNUMBER((('Resol  Asuntos'!D17/NºAsuntos!G17)-Datos!BF17)/Datos!BF17),(('Resol  Asuntos'!D17/NºAsuntos!G17)-Datos!BF17)/Datos!BF17," - ")</f>
        <v>-9.4576391350584987E-2</v>
      </c>
      <c r="K17" s="522">
        <f>IF(ISNUMBER((((NºAsuntos!C17+NºAsuntos!E17)/NºAsuntos!G17)-Datos!BG17)/Datos!BG17),(((NºAsuntos!C17+NºAsuntos!E17)/NºAsuntos!G17)-Datos!BG17)/Datos!BG17," - ")</f>
        <v>0.10249570528726862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-0.10227272727272728</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-0.27868852459016391</v>
      </c>
      <c r="E18" s="515">
        <f>IF(ISNUMBER(
   IF(D_I="SI",(Datos!L18-Datos!V18)/Datos!V18,(Datos!L18+Datos!AF18-(Datos!V18+Datos!AN18))/(Datos!V18+Datos!AN18))
     ),IF(D_I="SI",(Datos!L18-Datos!V18)/Datos!V18,(Datos!L18+Datos!AF18-(Datos!V18+Datos!AN18))/(Datos!V18+Datos!AN18))," - ")</f>
        <v>1.1111111111111112E-2</v>
      </c>
      <c r="F18" s="515">
        <f>IF(ISNUMBER((Datos!M18-Datos!W18)/Datos!W18),(Datos!M18-Datos!W18)/Datos!W18," - ")</f>
        <v>1</v>
      </c>
      <c r="G18" s="516">
        <f>IF(ISNUMBER((Datos!N18-Datos!X18)/Datos!X18),(Datos!N18-Datos!X18)/Datos!X18," - ")</f>
        <v>-0.53333333333333333</v>
      </c>
      <c r="H18" s="514">
        <f>IF(ISNUMBER(((NºAsuntos!G18/NºAsuntos!E18)-Datos!BD18)/Datos!BD18),((NºAsuntos!G18/NºAsuntos!E18)-Datos!BD18)/Datos!BD18," - ")</f>
        <v>-0.18852459016393444</v>
      </c>
      <c r="I18" s="515">
        <f>IF(ISNUMBER(((NºAsuntos!I18/NºAsuntos!G18)-Datos!BE18)/Datos!BE18),((NºAsuntos!I18/NºAsuntos!G18)-Datos!BE18)/Datos!BE18," - ")</f>
        <v>0.40176767676767677</v>
      </c>
      <c r="J18" s="521">
        <f>IF(ISNUMBER((('Resol  Asuntos'!D18/NºAsuntos!G18)-Datos!BF18)/Datos!BF18),(('Resol  Asuntos'!D18/NºAsuntos!G18)-Datos!BF18)/Datos!BF18," - ")</f>
        <v>1.7727272727272725</v>
      </c>
      <c r="K18" s="522">
        <f>IF(ISNUMBER((((NºAsuntos!C18+NºAsuntos!E18)/NºAsuntos!G18)-Datos!BG18)/Datos!BG18),(((NºAsuntos!C18+NºAsuntos!E18)/NºAsuntos!G18)-Datos!BG18)/Datos!BG18," - ")</f>
        <v>0.23946417820590019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0.22374429223744291</v>
      </c>
      <c r="C23" s="1152">
        <f>IF(ISNUMBER(
   IF(Criterios!B14="SI",(Datos!J23-Datos!T23)/Datos!T23,(Datos!J23+Datos!AD23-(Datos!T23+Datos!AL23))/(Datos!T23+Datos!AL23))
     ),IF(Criterios!B14="SI",(Datos!J23-Datos!T23)/Datos!T23,(Datos!J23+Datos!AD23-(Datos!T23+Datos!AL23))/(Datos!T23+Datos!AL23))," - ")</f>
        <v>-1.6853932584269662E-2</v>
      </c>
      <c r="D23" s="1152">
        <f>IF(ISNUMBER(
   IF(Criterios!B14="SI",(Datos!K23-Datos!U23)/Datos!U23,(Datos!K23+Datos!AE23-(Datos!U23+Datos!AM23))/(Datos!U23+Datos!AM23))
     ),IF(Criterios!B14="SI",(Datos!K23-Datos!U23)/Datos!U23,(Datos!K23+Datos!AE23-(Datos!U23+Datos!AM23))/(Datos!U23+Datos!AM23))," - ")</f>
        <v>-2.232142857142857E-3</v>
      </c>
      <c r="E23" s="1152">
        <f>IF(ISNUMBER(
   IF(Criterios!B14="SI",(Datos!L23-Datos!V23)/Datos!V23,(Datos!L23+Datos!AF23-(Datos!V23+Datos!AN23))/(Datos!V23+Datos!AN23))
     ),IF(Criterios!B14="SI",(Datos!L23-Datos!V23)/Datos!V23,(Datos!L23+Datos!AF23-(Datos!V23+Datos!AN23))/(Datos!V23+Datos!AN23))," - ")</f>
        <v>0.13291139240506328</v>
      </c>
      <c r="F23" s="1153">
        <f>IF(ISNUMBER((Datos!M23-Datos!W23)/Datos!W23),(Datos!M23-Datos!W23)/Datos!W23," - ")</f>
        <v>2.6315789473684209E-2</v>
      </c>
      <c r="G23" s="1154">
        <f>IF(ISNUMBER((Datos!N23-Datos!X23)/Datos!X23),(Datos!N23-Datos!X23)/Datos!X23," - ")</f>
        <v>-4.0540540540540543E-2</v>
      </c>
      <c r="H23" s="1154">
        <f>IF(ISNUMBER(((NºAsuntos!G23/NºAsuntos!E23)-Datos!BD23)/Datos!BD23),((NºAsuntos!G23/NºAsuntos!E23)-Datos!BD23)/Datos!BD23," - ")</f>
        <v>1.4872448979591769E-2</v>
      </c>
      <c r="I23" s="1154">
        <f>IF(ISNUMBER(((NºAsuntos!I23/NºAsuntos!G23)-Datos!BE23)/Datos!BE23),((NºAsuntos!I23/NºAsuntos!G23)-Datos!BE23)/Datos!BE23," - ")</f>
        <v>0.13544586979299406</v>
      </c>
      <c r="J23" s="1154">
        <f>IF(ISNUMBER((('Resol  Asuntos'!D23/NºAsuntos!G23)-Datos!BF23)/Datos!BF23),(('Resol  Asuntos'!D23/NºAsuntos!G23)-Datos!BF23)/Datos!BF23," - ")</f>
        <v>2.8611797951253914E-2</v>
      </c>
      <c r="K23" s="1154">
        <f>IF(ISNUMBER((((NºAsuntos!C23+NºAsuntos!E23)/NºAsuntos!G23)-Datos!BG23)/Datos!BG23),(((NºAsuntos!C23+NºAsuntos!E23)/NºAsuntos!G23)-Datos!BG23)/Datos!BG23," - ")</f>
        <v>0.11836536890211265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0.20766550522648083</v>
      </c>
      <c r="C31" s="1092">
        <f>IF(ISNUMBER(
   IF(J_V="SI",(Datos!J31-Datos!T31)/Datos!T31,(Datos!J31+Datos!Z31-(Datos!T31+Datos!AH31))/(Datos!T31+Datos!AH31))
     ),IF(J_V="SI",(Datos!J31-Datos!T31)/Datos!T31,(Datos!J31+Datos!Z31-(Datos!T31+Datos!AH31))/(Datos!T31+Datos!AH31))," - ")</f>
        <v>-7.3221757322175732E-3</v>
      </c>
      <c r="D31" s="1092">
        <f>IF(ISNUMBER(
   IF(J_V="SI",(Datos!K31-Datos!U31)/Datos!U31,(Datos!K31+Datos!AA31-(Datos!U31+Datos!AI31))/(Datos!U31+Datos!AI31))
     ),IF(J_V="SI",(Datos!K31-Datos!U31)/Datos!U31,(Datos!K31+Datos!AA31-(Datos!U31+Datos!AI31))/(Datos!U31+Datos!AI31))," - ")</f>
        <v>-5.3452115812917596E-2</v>
      </c>
      <c r="E31" s="1092">
        <f>IF(ISNUMBER(
   IF(J_V="SI",(Datos!L31-Datos!V31)/Datos!V31,(Datos!L31+Datos!AB31-(Datos!V31+Datos!AJ31))/(Datos!V31+Datos!AJ31))
     ),IF(J_V="SI",(Datos!L31-Datos!V31)/Datos!V31,(Datos!L31+Datos!AB31-(Datos!V31+Datos!AJ31))/(Datos!V31+Datos!AJ31))," - ")</f>
        <v>0.28488745980707397</v>
      </c>
      <c r="F31" s="1093">
        <f>IF(ISNUMBER((Datos!M31-Datos!W31)/Datos!W31),(Datos!M31-Datos!W31)/Datos!W31," - ")</f>
        <v>-0.14285714285714285</v>
      </c>
      <c r="G31" s="1094">
        <f>IF(ISNUMBER((Datos!N31-Datos!X31)/Datos!X31),(Datos!N31-Datos!X31)/Datos!X31," - ")</f>
        <v>-2.0887728459530026E-2</v>
      </c>
      <c r="H31" s="1095">
        <f>IF(ISNUMBER((Tasas!B31-Datos!BD31)/Datos!BD31),(Tasas!B31-Datos!BD31)/Datos!BD31," - ")</f>
        <v>-4.6470203073919018E-2</v>
      </c>
      <c r="I31" s="1096">
        <f>IF(ISNUMBER((Tasas!C31-Datos!BE31)/Datos!BE31),(Tasas!C31-Datos!BE31)/Datos!BE31," - ")</f>
        <v>0.35744581047853219</v>
      </c>
      <c r="J31" s="1097">
        <f>IF(ISNUMBER((Tasas!D31-Datos!BF31)/Datos!BF31),(Tasas!D31-Datos!BF31)/Datos!BF31," - ")</f>
        <v>-0.23085404873246365</v>
      </c>
      <c r="K31" s="1097">
        <f>IF(ISNUMBER((Tasas!E31-Datos!BG31)/Datos!BG31),(Tasas!E31-Datos!BG31)/Datos!BG31," - ")</f>
        <v>0.18504981917484675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QUtK6tIZTh4NnSUCIZF4p26XYjb8GZDs2Lm8tgDy/B/3cI56BHmw2YftjkjdPyPhdVxFnZBnL4aKswOqYNRRQ==" saltValue="L7TOk6dSu2U9YmRSOvPH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GERNIKA-LUMO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26</v>
      </c>
      <c r="D10" s="499">
        <f>IF(ISNUMBER('Resol  Asuntos'!D10/NºAsuntos!G10),'Resol  Asuntos'!D10/NºAsuntos!G10," - ")</f>
        <v>1</v>
      </c>
      <c r="E10" s="500">
        <f>IF(ISNUMBER((NºAsuntos!C10+NºAsuntos!E10)/NºAsuntos!G10),(NºAsuntos!C10+NºAsuntos!E10)/NºAsuntos!G10," - ")</f>
        <v>27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0.95714285714285718</v>
      </c>
      <c r="C12" s="498">
        <f>IF(ISNUMBER(NºAsuntos!I12/NºAsuntos!G12),NºAsuntos!I12/NºAsuntos!G12," - ")</f>
        <v>2.6791044776119404</v>
      </c>
      <c r="D12" s="499">
        <f>IF(ISNUMBER('Resol  Asuntos'!D12/NºAsuntos!G12),'Resol  Asuntos'!D12/NºAsuntos!G12," - ")</f>
        <v>0.23631840796019901</v>
      </c>
      <c r="E12" s="500">
        <f>IF(ISNUMBER((NºAsuntos!C12+NºAsuntos!E12)/NºAsuntos!G12),(NºAsuntos!C12+NºAsuntos!E12)/NºAsuntos!G12," - ")</f>
        <v>3.2985074626865671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0.95047169811320753</v>
      </c>
      <c r="C14" s="1156">
        <f>IF(ISNUMBER(NºAsuntos!I14/NºAsuntos!G14),NºAsuntos!I14/NºAsuntos!G14," - ")</f>
        <v>2.7369727047146402</v>
      </c>
      <c r="D14" s="1157">
        <f>IF(ISNUMBER('Resol  Asuntos'!D14/NºAsuntos!G14),'Resol  Asuntos'!D14/NºAsuntos!G14," - ")</f>
        <v>0.23821339950372208</v>
      </c>
      <c r="E14" s="1158">
        <f>IF(ISNUMBER((NºAsuntos!C14+NºAsuntos!E14)/NºAsuntos!G14),(NºAsuntos!C14+NºAsuntos!E14)/NºAsuntos!G14," - ")</f>
        <v>3.3573200992555829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0.85927505330490406</v>
      </c>
      <c r="C17" s="498">
        <f>IF(ISNUMBER(NºAsuntos!I17/NºAsuntos!G17),NºAsuntos!I17/NºAsuntos!G17," - ")</f>
        <v>1.9950372208436724</v>
      </c>
      <c r="D17" s="499">
        <f>IF(ISNUMBER('Resol  Asuntos'!D17/NºAsuntos!G17),'Resol  Asuntos'!D17/NºAsuntos!G17," - ")</f>
        <v>0.16377171215880892</v>
      </c>
      <c r="E17" s="500">
        <f>IF(ISNUMBER((NºAsuntos!C17+NºAsuntos!E17)/NºAsuntos!G17),(NºAsuntos!C17+NºAsuntos!E17)/NºAsuntos!G17," - ")</f>
        <v>2.9627791563275436</v>
      </c>
      <c r="G17" s="523"/>
    </row>
    <row r="18" spans="1:7">
      <c r="A18" s="450" t="str">
        <f>Datos!A18</f>
        <v>Jdos. Violencia contra la mujer</v>
      </c>
      <c r="B18" s="497">
        <f>IF(ISNUMBER(NºAsuntos!G18/NºAsuntos!E18),NºAsuntos!G18/NºAsuntos!E18," - ")</f>
        <v>0.7857142857142857</v>
      </c>
      <c r="C18" s="498">
        <f>IF(ISNUMBER(NºAsuntos!I18/NºAsuntos!G18),NºAsuntos!I18/NºAsuntos!G18," - ")</f>
        <v>2.0681818181818183</v>
      </c>
      <c r="D18" s="499">
        <f>IF(ISNUMBER('Resol  Asuntos'!D18/NºAsuntos!G18),'Resol  Asuntos'!D18/NºAsuntos!G18," - ")</f>
        <v>0.27272727272727271</v>
      </c>
      <c r="E18" s="500">
        <f>IF(ISNUMBER((NºAsuntos!C18+NºAsuntos!E18)/NºAsuntos!G18),(NºAsuntos!C18+NºAsuntos!E18)/NºAsuntos!G18," - ")</f>
        <v>3.0681818181818183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0.85142857142857142</v>
      </c>
      <c r="C23" s="1156">
        <f>IF(ISNUMBER(NºAsuntos!I23/NºAsuntos!G23),NºAsuntos!I23/NºAsuntos!G23," - ")</f>
        <v>2.0022371364653244</v>
      </c>
      <c r="D23" s="1159">
        <f>IF(ISNUMBER('Resol  Asuntos'!D23/NºAsuntos!G23),'Resol  Asuntos'!D23/NºAsuntos!G23," - ")</f>
        <v>0.17449664429530201</v>
      </c>
      <c r="E23" s="1158">
        <f>IF(ISNUMBER((NºAsuntos!C23+NºAsuntos!E23)/NºAsuntos!G23),(NºAsuntos!C23+NºAsuntos!E23)/NºAsuntos!G23," - ")</f>
        <v>2.9731543624161074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0.89567966280295053</v>
      </c>
      <c r="C31" s="1099">
        <f>IF(ISNUMBER(NºAsuntos!I31/NºAsuntos!G31),NºAsuntos!I31/NºAsuntos!G31," - ")</f>
        <v>2.3505882352941176</v>
      </c>
      <c r="D31" s="1100">
        <f>IF(ISNUMBER('Resol  Asuntos'!D31/NºAsuntos!G31),'Resol  Asuntos'!D31/NºAsuntos!G31," - ")</f>
        <v>0.20470588235294118</v>
      </c>
      <c r="E31" s="1101">
        <f>IF(ISNUMBER((NºAsuntos!C31+NºAsuntos!E31)/NºAsuntos!G31),(NºAsuntos!C31+NºAsuntos!E31)/NºAsuntos!G31," - ")</f>
        <v>3.1552941176470588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OwZogqaA8WAGvEmZM0NkP85rHK6FA3bdXulMsCC+Hb12ZhzcVJcUUhj2QoQ0shXPu7DNkUzEks3r6PU/c32kg==" saltValue="oP76+5w/L435Byg6+fDK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GERNIKA-LUMO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2</v>
      </c>
      <c r="Y10" s="374">
        <f t="shared" ref="Y10:Y13" si="0">SUM(W10:X10)</f>
        <v>3</v>
      </c>
      <c r="Z10" s="375" t="str">
        <f>IF(ISNUMBER(Datos!CC10),Datos!CC10," - ")</f>
        <v xml:space="preserve"> - </v>
      </c>
      <c r="AA10" s="372">
        <f>IF(ISNUMBER(Datos!L10),Datos!L10,"-")</f>
        <v>26</v>
      </c>
      <c r="AB10" s="374">
        <f>IF(ISNUMBER(Datos!R10),Datos!R10," - ")</f>
        <v>8</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52</v>
      </c>
      <c r="AN10" s="267">
        <f>IF(ISNUMBER('Resol  Asuntos'!D10/NºAsuntos!G10),'Resol  Asuntos'!D10/NºAsuntos!G10," - ")</f>
        <v>1</v>
      </c>
      <c r="AO10" s="268">
        <f>IF(ISNUMBER((NºAsuntos!C10+NºAsuntos!E10)/NºAsuntos!G10),(NºAsuntos!C10+NºAsuntos!E10)/NºAsuntos!G10," - ")</f>
        <v>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260</v>
      </c>
      <c r="Y12" s="374">
        <f t="shared" si="0"/>
        <v>260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0.95714285714285718</v>
      </c>
      <c r="AM12" s="284">
        <f>IF(ISNUMBER(((NºAsuntos!I12/NºAsuntos!G12)*11)/factor_trimestre),((NºAsuntos!I12/NºAsuntos!G12)*11)/factor_trimestre," - ")</f>
        <v>5.3582089552238807</v>
      </c>
      <c r="AN12" s="267">
        <f>IF(ISNUMBER('Resol  Asuntos'!D12/NºAsuntos!G12),'Resol  Asuntos'!D12/NºAsuntos!G12," - ")</f>
        <v>0.23631840796019901</v>
      </c>
      <c r="AO12" s="268">
        <f>IF(ISNUMBER((NºAsuntos!C12+NºAsuntos!E12)/NºAsuntos!G12),(NºAsuntos!C12+NºAsuntos!E12)/NºAsuntos!G12," - ")</f>
        <v>3.2985074626865671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262</v>
      </c>
      <c r="Y14" s="1165">
        <f t="shared" si="6"/>
        <v>263</v>
      </c>
      <c r="Z14" s="1165">
        <f t="shared" si="6"/>
        <v>0</v>
      </c>
      <c r="AA14" s="1165">
        <f t="shared" si="6"/>
        <v>26</v>
      </c>
      <c r="AB14" s="1165">
        <f t="shared" si="6"/>
        <v>1161</v>
      </c>
      <c r="AC14" s="1165">
        <f t="shared" si="6"/>
        <v>34</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0.95047169811320753</v>
      </c>
      <c r="AM14" s="1171">
        <f>IF(ISNUMBER(((NºAsuntos!I14/NºAsuntos!G14)*11)/factor_trimestre),((NºAsuntos!I14/NºAsuntos!G14)*11)/factor_trimestre," - ")</f>
        <v>5.4739454094292803</v>
      </c>
      <c r="AN14" s="1172">
        <f>IF(ISNUMBER('Resol  Asuntos'!D14/NºAsuntos!G14),'Resol  Asuntos'!D14/NºAsuntos!G14," - ")</f>
        <v>0.23821339950372208</v>
      </c>
      <c r="AO14" s="1173">
        <f>IF(ISNUMBER((NºAsuntos!C14+NºAsuntos!E14)/NºAsuntos!G14),(NºAsuntos!C14+NºAsuntos!E14)/NºAsuntos!G14," - ")</f>
        <v>3.3573200992555829</v>
      </c>
      <c r="AP14" s="1174" t="str">
        <f t="shared" si="2"/>
        <v xml:space="preserve"> - </v>
      </c>
      <c r="AQ14" s="1174">
        <f>IF(ISNUMBER((H14-W14+K14)/(F14)),(H14-W14+K14)/(F14)," - ")</f>
        <v>-4.3478260869565216E-2</v>
      </c>
      <c r="AR14" s="1175">
        <f>IF(ISNUMBER((Datos!P14-Datos!Q14)/(Datos!R14-Datos!P14+Datos!Q14)),(Datos!P14-Datos!Q14)/(Datos!R14-Datos!P14+Datos!Q14)," - ")</f>
        <v>-0.13293502613890965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738</v>
      </c>
      <c r="G17" s="373">
        <f>IF(ISNUMBER(IF(D_I="SI",Datos!I17,Datos!I17+Datos!AC17)),IF(D_I="SI",Datos!I17,Datos!I17+Datos!AC17)," - ")</f>
        <v>725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403</v>
      </c>
      <c r="X17" s="240">
        <f>IF(ISNUMBER(Datos!Q17),Datos!Q17," - ")</f>
        <v>17</v>
      </c>
      <c r="Y17" s="374">
        <f t="shared" ref="Y17:Y22" si="9">SUM(W17:X17)</f>
        <v>420</v>
      </c>
      <c r="Z17" s="375" t="str">
        <f>IF(ISNUMBER(Datos!CC17),Datos!CC17," - ")</f>
        <v xml:space="preserve"> - </v>
      </c>
      <c r="AA17" s="372">
        <f>IF(ISNUMBER(IF(D_I="SI",Datos!L17,Datos!L17+Datos!AF17)),IF(D_I="SI",Datos!L17,Datos!L17+Datos!AF17)," - ")</f>
        <v>804</v>
      </c>
      <c r="AB17" s="374">
        <f>IF(ISNUMBER(Datos!R17),Datos!R17," - ")</f>
        <v>175</v>
      </c>
      <c r="AC17" s="374">
        <f t="shared" si="8"/>
        <v>979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0.85927505330490406</v>
      </c>
      <c r="AM17" s="284">
        <f>IF(ISNUMBER(((NºAsuntos!I17/NºAsuntos!G17)*11)/factor_trimestre),((NºAsuntos!I17/NºAsuntos!G17)*11)/factor_trimestre," - ")</f>
        <v>3.9900744416873448</v>
      </c>
      <c r="AN17" s="267">
        <f>IF(ISNUMBER('Resol  Asuntos'!D17/NºAsuntos!G17),'Resol  Asuntos'!D17/NºAsuntos!G17," - ")</f>
        <v>0.16377171215880892</v>
      </c>
      <c r="AO17" s="268">
        <f>IF(ISNUMBER((NºAsuntos!C17+NºAsuntos!E17)/NºAsuntos!G17),(NºAsuntos!C17+NºAsuntos!E17)/NºAsuntos!G17," - ")</f>
        <v>2.9627791563275436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91</v>
      </c>
      <c r="AB18" s="374">
        <f>IF(ISNUMBER(Datos!R18),Datos!R18," - ")</f>
        <v>2</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0.7857142857142857</v>
      </c>
      <c r="AM18" s="284">
        <f>IF(ISNUMBER(((NºAsuntos!I18/NºAsuntos!G18)*11)/factor_trimestre),((NºAsuntos!I18/NºAsuntos!G18)*11)/factor_trimestre," - ")</f>
        <v>4.1363636363636367</v>
      </c>
      <c r="AN18" s="267">
        <f>IF(ISNUMBER('Resol  Asuntos'!D18/NºAsuntos!G18),'Resol  Asuntos'!D18/NºAsuntos!G18," - ")</f>
        <v>0.27272727272727271</v>
      </c>
      <c r="AO18" s="268">
        <f>IF(ISNUMBER((NºAsuntos!C18+NºAsuntos!E18)/NºAsuntos!G18),(NºAsuntos!C18+NºAsuntos!E18)/NºAsuntos!G18," - ")</f>
        <v>3.0681818181818183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738</v>
      </c>
      <c r="G23" s="1163">
        <f>SUBTOTAL(9,G16:G22)</f>
        <v>804</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447</v>
      </c>
      <c r="X23" s="1164">
        <f t="shared" si="14"/>
        <v>17</v>
      </c>
      <c r="Y23" s="1165">
        <f t="shared" si="14"/>
        <v>464</v>
      </c>
      <c r="Z23" s="1165">
        <f t="shared" si="14"/>
        <v>0</v>
      </c>
      <c r="AA23" s="1165">
        <f t="shared" si="14"/>
        <v>895</v>
      </c>
      <c r="AB23" s="1165">
        <f t="shared" si="14"/>
        <v>177</v>
      </c>
      <c r="AC23" s="1165">
        <f t="shared" si="14"/>
        <v>1072</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0.85142857142857142</v>
      </c>
      <c r="AM23" s="1171">
        <f>IF(ISNUMBER(((NºAsuntos!I23/NºAsuntos!G23)*11)/factor_trimestre),((NºAsuntos!I23/NºAsuntos!G23)*11)/factor_trimestre," - ")</f>
        <v>4.0044742729306488</v>
      </c>
      <c r="AN23" s="1172">
        <f>IF(ISNUMBER('Resol  Asuntos'!D23/NºAsuntos!G23),'Resol  Asuntos'!D23/NºAsuntos!G23," - ")</f>
        <v>0.17449664429530201</v>
      </c>
      <c r="AO23" s="1173">
        <f>IF(ISNUMBER((NºAsuntos!C23+NºAsuntos!E23)/NºAsuntos!G23),(NºAsuntos!C23+NºAsuntos!E23)/NºAsuntos!G23," - ")</f>
        <v>2.9731543624161074</v>
      </c>
      <c r="AP23" s="1174" t="str">
        <f t="shared" si="2"/>
        <v xml:space="preserve"> - </v>
      </c>
      <c r="AQ23" s="1174">
        <f>IF(ISNUMBER((H23-W23+K23)/(F23)),(H23-W23+K23)/(F23)," - ")</f>
        <v>-0.60569105691056913</v>
      </c>
      <c r="AR23" s="1175">
        <f>IF(ISNUMBER((Datos!P23-Datos!Q23)/(Datos!R23-Datos!P23+Datos!Q23)),(Datos!P23-Datos!Q23)/(Datos!R23-Datos!P23+Datos!Q23)," - ")</f>
        <v>-5.6179775280898875E-3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761</v>
      </c>
      <c r="G31" s="1118">
        <f t="shared" si="20"/>
        <v>827</v>
      </c>
      <c r="H31" s="1117">
        <f t="shared" si="20"/>
        <v>0</v>
      </c>
      <c r="I31" s="1119">
        <f t="shared" si="20"/>
        <v>0</v>
      </c>
      <c r="J31" s="1119">
        <f t="shared" si="20"/>
        <v>0</v>
      </c>
      <c r="K31" s="1180">
        <f t="shared" si="20"/>
        <v>0</v>
      </c>
      <c r="L31" s="1119">
        <f t="shared" si="20"/>
        <v>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448</v>
      </c>
      <c r="X31" s="1118">
        <f t="shared" si="21"/>
        <v>279</v>
      </c>
      <c r="Y31" s="1125">
        <f t="shared" si="21"/>
        <v>727</v>
      </c>
      <c r="Z31" s="1125">
        <f t="shared" si="21"/>
        <v>0</v>
      </c>
      <c r="AA31" s="1125">
        <f t="shared" si="21"/>
        <v>921</v>
      </c>
      <c r="AB31" s="1125">
        <f t="shared" si="21"/>
        <v>1338</v>
      </c>
      <c r="AC31" s="1125">
        <f t="shared" si="21"/>
        <v>1106</v>
      </c>
      <c r="AD31" s="1125">
        <f t="shared" si="21"/>
        <v>0</v>
      </c>
      <c r="AE31" s="1127">
        <f t="shared" si="21"/>
        <v>0</v>
      </c>
      <c r="AF31" s="1128">
        <f t="shared" si="21"/>
        <v>0</v>
      </c>
      <c r="AG31" s="1129">
        <f t="shared" si="21"/>
        <v>0</v>
      </c>
      <c r="AH31" s="1127">
        <f t="shared" si="21"/>
        <v>0</v>
      </c>
      <c r="AI31" s="1117">
        <f t="shared" si="21"/>
        <v>174</v>
      </c>
      <c r="AJ31" s="1117">
        <f t="shared" si="21"/>
        <v>0</v>
      </c>
      <c r="AK31" s="1127">
        <f t="shared" si="21"/>
        <v>0</v>
      </c>
      <c r="AL31" s="1183">
        <f>IF(ISNUMBER(NºAsuntos!G31/NºAsuntos!E31),NºAsuntos!G31/NºAsuntos!E31," - ")</f>
        <v>0.89567966280295053</v>
      </c>
      <c r="AM31" s="1184">
        <f>IF(ISNUMBER(((NºAsuntos!I31/NºAsuntos!G31)*11)/factor_trimestre),((NºAsuntos!I31/NºAsuntos!G31)*11)/factor_trimestre," - ")</f>
        <v>4.7011764705882353</v>
      </c>
      <c r="AN31" s="1184">
        <f>IF(ISNUMBER('Resol  Asuntos'!D31/NºAsuntos!G31),'Resol  Asuntos'!D31/NºAsuntos!G31," - ")</f>
        <v>0.20470588235294118</v>
      </c>
      <c r="AO31" s="1185">
        <f>IF(ISNUMBER((NºAsuntos!C31+NºAsuntos!E31)/NºAsuntos!G31),(NºAsuntos!C31+NºAsuntos!E31)/NºAsuntos!G31," - ")</f>
        <v>3.1552941176470588</v>
      </c>
      <c r="AP31" s="1186" t="str">
        <f t="shared" si="2"/>
        <v xml:space="preserve"> - </v>
      </c>
      <c r="AQ31" s="1187">
        <f>IF(OR(ISNUMBER(FIND("01",Criterios!A8,1)),ISNUMBER(FIND("02",Criterios!A8,1)),ISNUMBER(FIND("03",Criterios!A8,1)),ISNUMBER(FIND("04",Criterios!A8,1))),(I31-W31+K31)/(F31-K31),(H31-W31+K31)/(F31-K31))</f>
        <v>-0.58869908015768724</v>
      </c>
      <c r="AR31" s="1188">
        <f>IF(ISNUMBER((Datos!P31-Datos!Q31)/(Datos!R31-Datos!P31+Datos!Q31)),(Datos!P31-Datos!Q31)/(Datos!R31-Datos!P31+Datos!Q31)," - ")</f>
        <v>-0.11799604482531312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375.30396569536362</v>
      </c>
      <c r="G33" s="277">
        <f>IF(ISNUMBER(STDEV(G8:G30)),STDEV(G8:G30),"-")</f>
        <v>362.51975315639208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203.90684147423792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44.220228079789131</v>
      </c>
      <c r="AJ33" s="276">
        <f t="shared" si="25"/>
        <v>0</v>
      </c>
      <c r="AK33" s="278">
        <f t="shared" si="25"/>
        <v>0</v>
      </c>
      <c r="AL33" s="273">
        <f t="shared" si="25"/>
        <v>0.26557373144777635</v>
      </c>
      <c r="AM33" s="274">
        <f t="shared" si="25"/>
        <v>19.365761532678246</v>
      </c>
      <c r="AN33" s="274">
        <f t="shared" si="25"/>
        <v>0.32228506532992762</v>
      </c>
      <c r="AO33" s="275">
        <f t="shared" si="25"/>
        <v>9.7454749352627044</v>
      </c>
      <c r="AP33" s="317" t="str">
        <f t="shared" si="25"/>
        <v>-</v>
      </c>
      <c r="AQ33" s="318">
        <f t="shared" si="25"/>
        <v>0.39754448055044328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6GkRv4hNTVtnVT7NbgEGv00jAZ27diWrp3IeXDukszzXcQqDzkMHi6qle+SXby80LmT3Kh4pvP5J9wSFwl7lg==" saltValue="tGsZnjfTTtKYqUXHXezG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GERNIKA-LUMO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v>
      </c>
      <c r="E10" s="393">
        <f>IF(ISNUMBER((Datos!J10-Datos!T10)/Datos!T10),(Datos!J10-Datos!T10)/Datos!T10," - ")</f>
        <v>-0.5</v>
      </c>
      <c r="F10" s="393">
        <f>IF(ISNUMBER((Datos!K10-Datos!U10)/Datos!U10),(Datos!K10-Datos!U10)/Datos!U10," - ")</f>
        <v>-0.75</v>
      </c>
      <c r="G10" s="394">
        <f>IF(ISNUMBER((Datos!L10-Datos!V10)/Datos!V10),(Datos!L10-Datos!V10)/Datos!V10," - ")</f>
        <v>0.04</v>
      </c>
      <c r="H10" s="244">
        <f>IF(ISNUMBER((Datos!M10-Datos!W10)/Datos!W10),(Datos!M10-Datos!W10)/Datos!W10," - ")</f>
        <v>-0.66666666666666663</v>
      </c>
      <c r="I10" s="395">
        <f>IF(ISNUMBER((Tasas!C10-Datos!BE10)/Datos!BE10),(Tasas!C10-Datos!BE10)/Datos!BE10," - ")</f>
        <v>3.16</v>
      </c>
      <c r="J10" s="394">
        <f>IF(ISNUMBER((Tasas!D10-Datos!BF10)/Datos!BF10),(Tasas!D10-Datos!BF10)/Datos!BF10," - ")</f>
        <v>0.33333333333333331</v>
      </c>
      <c r="K10" s="396">
        <f>IF(ISNUMBER((Tasas!E10-Datos!BG10)/Datos!BG10),(Tasas!E10-Datos!BG10)/Datos!BG10," - ")</f>
        <v>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-0.23387096774193547</v>
      </c>
      <c r="I12" s="395">
        <f>IF(ISNUMBER((Tasas!C12-Datos!BE12)/Datos!BE12),(Tasas!C12-Datos!BE12)/Datos!BE12," - ")</f>
        <v>0.61470350947962904</v>
      </c>
      <c r="J12" s="394">
        <f>IF(ISNUMBER((Tasas!D12-Datos!BF12)/Datos!BF12),(Tasas!D12-Datos!BF12)/Datos!BF12," - ")</f>
        <v>-0.34126243781094523</v>
      </c>
      <c r="K12" s="396">
        <f>IF(ISNUMBER((Tasas!E12-Datos!BG12)/Datos!BG12),(Tasas!E12-Datos!BG12)/Datos!BG12," - ")</f>
        <v>0.24461449099679272</v>
      </c>
      <c r="M12" t="e">
        <f>IF(Monitorios="SI",Datos!CE12,0)</f>
        <v>#REF!</v>
      </c>
      <c r="N12" t="e">
        <f>IF(Monitorios="SI",Datos!CF12,0)</f>
        <v>#REF!</v>
      </c>
      <c r="O12" t="e">
        <f>IF(Monitorios="SI",Datos!CG12,0)</f>
        <v>#REF!</v>
      </c>
      <c r="P12" t="e">
        <f>IF(Monitorios="SI",Datos!CH12,0)</f>
        <v>#REF!</v>
      </c>
      <c r="Q12">
        <f>IF(J_V="SI",0,Datos!AG12)</f>
        <v>65</v>
      </c>
      <c r="R12">
        <f>IF(J_V="SI",0,Datos!AH12)</f>
        <v>83</v>
      </c>
      <c r="S12">
        <f>IF(J_V="SI",0,Datos!AI12)</f>
        <v>73</v>
      </c>
      <c r="T12">
        <f>IF(J_V="SI",0,Datos!AJ12)</f>
        <v>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-0.24409448818897639</v>
      </c>
      <c r="I14" s="402">
        <f>IF(ISNUMBER((Tasas!C14-Datos!BE14)/Datos!BE14),(Tasas!C14-Datos!BE14)/Datos!BE14," - ")</f>
        <v>0.60998394394978839</v>
      </c>
      <c r="J14" s="400">
        <f>IF(ISNUMBER((Tasas!D14-Datos!BF14)/Datos!BF14),(Tasas!D14-Datos!BF14)/Datos!BF14," - ")</f>
        <v>-0.34235564554187153</v>
      </c>
      <c r="K14" s="403">
        <f>IF(ISNUMBER((Tasas!E14-Datos!BG14)/Datos!BG14),(Tasas!E14-Datos!BG14)/Datos!BG14," - ")</f>
        <v>0.25899503722084366</v>
      </c>
      <c r="M14" t="e">
        <f>IF(Monitorios="SI",Datos!CE14,0)</f>
        <v>#REF!</v>
      </c>
      <c r="N14" t="e">
        <f>IF(Monitorios="SI",Datos!CF14,0)</f>
        <v>#REF!</v>
      </c>
      <c r="O14" t="e">
        <f>IF(Monitorios="SI",Datos!CG14,0)</f>
        <v>#REF!</v>
      </c>
      <c r="P14" t="e">
        <f>IF(Monitorios="SI",Datos!CH14,0)</f>
        <v>#REF!</v>
      </c>
      <c r="Q14">
        <f>IF(J_V="SI",0,Datos!AG14)</f>
        <v>65</v>
      </c>
      <c r="R14">
        <f>IF(J_V="SI",0,Datos!AH14)</f>
        <v>83</v>
      </c>
      <c r="S14">
        <f>IF(J_V="SI",0,Datos!AI14)</f>
        <v>73</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0.27416520210896311</v>
      </c>
      <c r="E17" s="393">
        <f>IF(ISNUMBER(
   IF(D_I="SI",(Datos!J17-Datos!T17)/Datos!T17,(Datos!J17+Datos!AD17-(Datos!T17+Datos!AL17))/(Datos!T17+Datos!AL17))
     ),IF(D_I="SI",(Datos!J17-Datos!T17)/Datos!T17,(Datos!J17+Datos!AD17-(Datos!T17+Datos!AL17))/(Datos!T17+Datos!AL17))," - ")</f>
        <v>-4.246284501061571E-3</v>
      </c>
      <c r="F17" s="393">
        <f>IF(ISNUMBER(
   IF(D_I="SI",(Datos!K17-Datos!U17)/Datos!U17,(Datos!K17+Datos!AE17-(Datos!U17+Datos!AM17))/(Datos!U17+Datos!AM17))
     ),IF(D_I="SI",(Datos!K17-Datos!U17)/Datos!U17,(Datos!K17+Datos!AE17-(Datos!U17+Datos!AM17))/(Datos!U17+Datos!AM17))," - ")</f>
        <v>4.1343669250645997E-2</v>
      </c>
      <c r="G17" s="394">
        <f>IF(ISNUMBER(
   IF(D_I="SI",(Datos!L17-Datos!V17)/Datos!V17,(Datos!L17+Datos!AF17-(Datos!V17+Datos!AN17))/(Datos!V17+Datos!AN17))
     ),IF(D_I="SI",(Datos!L17-Datos!V17)/Datos!V17,(Datos!L17+Datos!AF17-(Datos!V17+Datos!AN17))/(Datos!V17+Datos!AN17))," - ")</f>
        <v>0.14857142857142858</v>
      </c>
      <c r="H17" s="244">
        <f>IF(ISNUMBER((Datos!M17-Datos!W17)/Datos!W17),(Datos!M17-Datos!W17)/Datos!W17," - ")</f>
        <v>-5.7142857142857141E-2</v>
      </c>
      <c r="I17" s="395">
        <f>IF(ISNUMBER((Tasas!C17-Datos!BE17)/Datos!BE17),(Tasas!C17-Datos!BE17)/Datos!BE17," - ")</f>
        <v>0.10297057780928749</v>
      </c>
      <c r="J17" s="394">
        <f>IF(ISNUMBER((Tasas!D17-Datos!BF17)/Datos!BF17),(Tasas!D17-Datos!BF17)/Datos!BF17," - ")</f>
        <v>-9.4576391350584987E-2</v>
      </c>
      <c r="K17" s="396">
        <f>IF(ISNUMBER((Tasas!E17-Datos!BG17)/Datos!BG17),(Tasas!E17-Datos!BG17)/Datos!BG17," - ")</f>
        <v>0.10249570528726862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-0.10227272727272728</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-0.27868852459016391</v>
      </c>
      <c r="G18" s="394">
        <f>IF(ISNUMBER(
   IF(D_I="SI",(Datos!L18-Datos!V18)/Datos!V18,(Datos!L18+Datos!AF18-(Datos!V18+Datos!AN18))/(Datos!V18+Datos!AN18))
     ),IF(D_I="SI",(Datos!L18-Datos!V18)/Datos!V18,(Datos!L18+Datos!AF18-(Datos!V18+Datos!AN18))/(Datos!V18+Datos!AN18))," - ")</f>
        <v>1.1111111111111112E-2</v>
      </c>
      <c r="H18" s="244">
        <f>IF(ISNUMBER((Datos!M18-Datos!W18)/Datos!W18),(Datos!M18-Datos!W18)/Datos!W18," - ")</f>
        <v>1</v>
      </c>
      <c r="I18" s="395">
        <f>IF(ISNUMBER((Tasas!C18-Datos!BE18)/Datos!BE18),(Tasas!C18-Datos!BE18)/Datos!BE18," - ")</f>
        <v>0.40176767676767677</v>
      </c>
      <c r="J18" s="394">
        <f>IF(ISNUMBER((Tasas!D18-Datos!BF18)/Datos!BF18),(Tasas!D18-Datos!BF18)/Datos!BF18," - ")</f>
        <v>1.7727272727272725</v>
      </c>
      <c r="K18" s="396">
        <f>IF(ISNUMBER((Tasas!E18-Datos!BG18)/Datos!BG18),(Tasas!E18-Datos!BG18)/Datos!BG18," - ")</f>
        <v>0.23946417820590019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0.22374429223744291</v>
      </c>
      <c r="E23" s="399">
        <f>IF(ISNUMBER(
   IF(D_I="SI",(Datos!J23-Datos!T23)/Datos!T23,(Datos!J23+Datos!AD23-(Datos!T23+Datos!AL23))/(Datos!T23+Datos!AL23))
     ),IF(D_I="SI",(Datos!J23-Datos!T23)/Datos!T23,(Datos!J23+Datos!AD23-(Datos!T23+Datos!AL23))/(Datos!T23+Datos!AL23))," - ")</f>
        <v>-1.6853932584269662E-2</v>
      </c>
      <c r="F23" s="399">
        <f>IF(ISNUMBER(
   IF(D_I="SI",(Datos!K23-Datos!U23)/Datos!U23,(Datos!K23+Datos!AE23-(Datos!U23+Datos!AM23))/(Datos!U23+Datos!AM23))
     ),IF(D_I="SI",(Datos!K23-Datos!U23)/Datos!U23,(Datos!K23+Datos!AE23-(Datos!U23+Datos!AM23))/(Datos!U23+Datos!AM23))," - ")</f>
        <v>-2.232142857142857E-3</v>
      </c>
      <c r="G23" s="400">
        <f>IF(ISNUMBER(
   IF(D_I="SI",(Datos!L23-Datos!V23)/Datos!V23,(Datos!L23+Datos!AF23-(Datos!V23+Datos!AN23))/(Datos!V23+Datos!AN23))
     ),IF(D_I="SI",(Datos!L23-Datos!V23)/Datos!V23,(Datos!L23+Datos!AF23-(Datos!V23+Datos!AN23))/(Datos!V23+Datos!AN23))," - ")</f>
        <v>0.13291139240506328</v>
      </c>
      <c r="H23" s="401">
        <f>IF(ISNUMBER((Datos!M23-Datos!W23)/Datos!W23),(Datos!M23-Datos!W23)/Datos!W23," - ")</f>
        <v>2.6315789473684209E-2</v>
      </c>
      <c r="I23" s="402">
        <f>IF(ISNUMBER((Tasas!C23-Datos!BE23)/Datos!BE23),(Tasas!C23-Datos!BE23)/Datos!BE23," - ")</f>
        <v>0.13544586979299406</v>
      </c>
      <c r="J23" s="400">
        <f>IF(ISNUMBER((Tasas!D23-Datos!BF23)/Datos!BF23),(Tasas!D23-Datos!BF23)/Datos!BF23," - ")</f>
        <v>2.8611797951253914E-2</v>
      </c>
      <c r="K23" s="403">
        <f>IF(ISNUMBER((Tasas!E23-Datos!BG23)/Datos!BG23),(Tasas!E23-Datos!BG23)/Datos!BG23," - ")</f>
        <v>0.11836536890211265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0.20766550522648083</v>
      </c>
      <c r="E31" s="409">
        <f>IF(ISNUMBER(
   IF(J_V="SI",(Datos!J31-Datos!T31)/Datos!T31,(Datos!J31+Datos!Z31-(Datos!T31+Datos!AH31))/(Datos!T31+Datos!AH31))
     ),IF(J_V="SI",(Datos!J31-Datos!T31)/Datos!T31,(Datos!J31+Datos!Z31-(Datos!T31+Datos!AH31))/(Datos!T31+Datos!AH31))," - ")</f>
        <v>-7.3221757322175732E-3</v>
      </c>
      <c r="F31" s="409">
        <f>IF(ISNUMBER(
   IF(J_V="SI",(Datos!K31-Datos!U31)/Datos!U31,(Datos!K31+Datos!AA31-(Datos!U31+Datos!AI31))/(Datos!U31+Datos!AI31))
     ),IF(J_V="SI",(Datos!K31-Datos!U31)/Datos!U31,(Datos!K31+Datos!AA31-(Datos!U31+Datos!AI31))/(Datos!U31+Datos!AI31))," - ")</f>
        <v>-5.3452115812917596E-2</v>
      </c>
      <c r="G31" s="410">
        <f>IF(ISNUMBER(
   IF(J_V="SI",(Datos!L31-Datos!V31)/Datos!V31,(Datos!L31+Datos!AB31-(Datos!V31+Datos!AJ31))/(Datos!V31+Datos!AJ31))
     ),IF(J_V="SI",(Datos!L31-Datos!V31)/Datos!V31,(Datos!L31+Datos!AB31-(Datos!V31+Datos!AJ31))/(Datos!V31+Datos!AJ31))," - ")</f>
        <v>0.28488745980707397</v>
      </c>
      <c r="H31" s="411">
        <f>IF(ISNUMBER((Datos!M31-Datos!W31)/Datos!W31),(Datos!M31-Datos!W31)/Datos!W31," - ")</f>
        <v>-0.14285714285714285</v>
      </c>
      <c r="I31" s="408">
        <f>IF(ISNUMBER((Tasas!C31-Datos!BE31)/Datos!BE31),(Tasas!C31-Datos!BE31)/Datos!BE31," - ")</f>
        <v>0.35744581047853219</v>
      </c>
      <c r="J31" s="409">
        <f>IF(ISNUMBER((Tasas!D31-Datos!BF31)/Datos!BF31),(Tasas!D31-Datos!BF31)/Datos!BF31," - ")</f>
        <v>-0.23085404873246365</v>
      </c>
      <c r="K31" s="410">
        <f>IF(ISNUMBER((Tasas!E31-Datos!BG31)/Datos!BG31),(Tasas!E31-Datos!BG31)/Datos!BG31," - ")</f>
        <v>0.18504981917484675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0.60742400502369165</v>
      </c>
      <c r="E33" s="303">
        <f t="shared" si="1"/>
        <v>0.23289838564846777</v>
      </c>
      <c r="F33" s="303">
        <f t="shared" si="1"/>
        <v>0.36380668692182555</v>
      </c>
      <c r="G33" s="304">
        <f t="shared" si="1"/>
        <v>6.7842178359184033E-2</v>
      </c>
      <c r="H33" s="310">
        <f t="shared" si="1"/>
        <v>0.5581306356313237</v>
      </c>
      <c r="I33" s="302">
        <f t="shared" si="1"/>
        <v>1.1591103666617864</v>
      </c>
      <c r="J33" s="303">
        <f t="shared" si="1"/>
        <v>0.79880307970654707</v>
      </c>
      <c r="K33" s="304">
        <f t="shared" si="1"/>
        <v>1.9637050265630391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vr4SCcYy8DIsB6voCrluWOsHtEvK/fR//oIl/pa4wgMGYTXkgQ/2mR2Hbj+7zDI9AB9AJEXON3nnSslzPJ6w==" saltValue="wHQlM2bAttnnFIOTbPYx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